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D4C7" lockStructure="1"/>
  <bookViews>
    <workbookView xWindow="-45" yWindow="-45" windowWidth="11565" windowHeight="5895" tabRatio="928" firstSheet="4" activeTab="4"/>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functionGroups builtInGroupCount="17"/>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45621"/>
</workbook>
</file>

<file path=xl/calcChain.xml><?xml version="1.0" encoding="utf-8"?>
<calcChain xmlns="http://schemas.openxmlformats.org/spreadsheetml/2006/main">
  <c r="M380" i="38" l="1"/>
  <c r="N380" i="38" s="1"/>
  <c r="K380" i="38"/>
  <c r="L380" i="38"/>
  <c r="J380" i="38"/>
  <c r="M379" i="38"/>
  <c r="N379" i="38" s="1"/>
  <c r="K379" i="38"/>
  <c r="J379" i="38"/>
  <c r="H74" i="40"/>
  <c r="M378" i="38"/>
  <c r="N378" i="38" s="1"/>
  <c r="K378" i="38"/>
  <c r="L378" i="38" s="1"/>
  <c r="J378" i="38"/>
  <c r="M377" i="38"/>
  <c r="N377" i="38" s="1"/>
  <c r="K377" i="38"/>
  <c r="L377" i="38"/>
  <c r="J377" i="38"/>
  <c r="K186" i="38"/>
  <c r="L186" i="38"/>
  <c r="J186" i="38"/>
  <c r="K376" i="38"/>
  <c r="L376" i="38" s="1"/>
  <c r="J376" i="38"/>
  <c r="K375" i="38"/>
  <c r="L375" i="38"/>
  <c r="J375" i="38"/>
  <c r="K374" i="38"/>
  <c r="L374" i="38"/>
  <c r="J374" i="38"/>
  <c r="K373" i="38"/>
  <c r="L373" i="38"/>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c r="K369" i="38"/>
  <c r="L369" i="38" s="1"/>
  <c r="J369" i="38"/>
  <c r="M368" i="38"/>
  <c r="N368" i="38"/>
  <c r="K368" i="38"/>
  <c r="L368" i="38"/>
  <c r="J368" i="38"/>
  <c r="M367" i="38"/>
  <c r="N367" i="38" s="1"/>
  <c r="K367" i="38"/>
  <c r="L367" i="38"/>
  <c r="J367" i="38"/>
  <c r="K366" i="38"/>
  <c r="L366" i="38"/>
  <c r="J366" i="38"/>
  <c r="K365" i="38"/>
  <c r="L365" i="38" s="1"/>
  <c r="J365" i="38"/>
  <c r="K364" i="38"/>
  <c r="L364" i="38"/>
  <c r="J364" i="38"/>
  <c r="K363" i="38"/>
  <c r="L363" i="38"/>
  <c r="J363" i="38"/>
  <c r="K362" i="38"/>
  <c r="L362" i="38"/>
  <c r="J362" i="38"/>
  <c r="K361" i="38"/>
  <c r="L361" i="38" s="1"/>
  <c r="J361" i="38"/>
  <c r="M360" i="38"/>
  <c r="N360" i="38"/>
  <c r="K360" i="38"/>
  <c r="L360" i="38"/>
  <c r="J360" i="38"/>
  <c r="M359" i="38"/>
  <c r="N359" i="38" s="1"/>
  <c r="K359" i="38"/>
  <c r="L359" i="38" s="1"/>
  <c r="J359" i="38"/>
  <c r="K358" i="38"/>
  <c r="L358" i="38" s="1"/>
  <c r="J358" i="38"/>
  <c r="M357" i="38"/>
  <c r="N357" i="38" s="1"/>
  <c r="K357" i="38"/>
  <c r="L357" i="38"/>
  <c r="J357" i="38"/>
  <c r="M356" i="38"/>
  <c r="N356" i="38"/>
  <c r="K356" i="38"/>
  <c r="L356" i="38"/>
  <c r="J356" i="38"/>
  <c r="K320" i="38"/>
  <c r="L320" i="38" s="1"/>
  <c r="J320" i="38"/>
  <c r="K355" i="38"/>
  <c r="L355" i="38"/>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c r="K351" i="38"/>
  <c r="L351" i="38"/>
  <c r="J351" i="38"/>
  <c r="M350" i="38"/>
  <c r="N350" i="38"/>
  <c r="K350" i="38"/>
  <c r="L350" i="38" s="1"/>
  <c r="J350" i="38"/>
  <c r="M349" i="38"/>
  <c r="N349" i="38"/>
  <c r="K349" i="38"/>
  <c r="L349" i="38" s="1"/>
  <c r="J349" i="38"/>
  <c r="M348" i="38"/>
  <c r="N348" i="38" s="1"/>
  <c r="K348" i="38"/>
  <c r="L348" i="38" s="1"/>
  <c r="J348" i="38"/>
  <c r="M347" i="38"/>
  <c r="N347" i="38"/>
  <c r="K347" i="38"/>
  <c r="L347" i="38"/>
  <c r="J347" i="38"/>
  <c r="M346" i="38"/>
  <c r="N346" i="38" s="1"/>
  <c r="K346" i="38"/>
  <c r="L346" i="38" s="1"/>
  <c r="J346" i="38"/>
  <c r="M345" i="38"/>
  <c r="N345" i="38"/>
  <c r="K345" i="38"/>
  <c r="L345" i="38"/>
  <c r="J345" i="38"/>
  <c r="M318" i="38"/>
  <c r="N318" i="38"/>
  <c r="K318" i="38"/>
  <c r="L318" i="38" s="1"/>
  <c r="J318" i="38"/>
  <c r="M316" i="38"/>
  <c r="N316" i="38"/>
  <c r="K316" i="38"/>
  <c r="L316" i="38"/>
  <c r="J316" i="38"/>
  <c r="M299" i="38"/>
  <c r="N299" i="38" s="1"/>
  <c r="K299" i="38"/>
  <c r="L299" i="38"/>
  <c r="J299" i="38"/>
  <c r="M298" i="38"/>
  <c r="L298" i="38"/>
  <c r="J298" i="38"/>
  <c r="K344" i="38"/>
  <c r="L344" i="38" s="1"/>
  <c r="J344" i="38"/>
  <c r="K343" i="38"/>
  <c r="L343" i="38"/>
  <c r="J343" i="38"/>
  <c r="K342" i="38"/>
  <c r="L342" i="38"/>
  <c r="J342" i="38"/>
  <c r="K341" i="38"/>
  <c r="L341" i="38"/>
  <c r="J341" i="38"/>
  <c r="K340" i="38"/>
  <c r="L340" i="38" s="1"/>
  <c r="J340" i="38"/>
  <c r="K339" i="38"/>
  <c r="L339" i="38"/>
  <c r="J339" i="38"/>
  <c r="K338" i="38"/>
  <c r="L338" i="38"/>
  <c r="J338" i="38"/>
  <c r="K337" i="38"/>
  <c r="L337" i="38"/>
  <c r="J337" i="38"/>
  <c r="K336" i="38"/>
  <c r="L336" i="38" s="1"/>
  <c r="J336" i="38"/>
  <c r="K335" i="38"/>
  <c r="L335" i="38"/>
  <c r="J335" i="38"/>
  <c r="K334" i="38"/>
  <c r="L334" i="38"/>
  <c r="J334" i="38"/>
  <c r="K333" i="38"/>
  <c r="L333" i="38"/>
  <c r="J333" i="38"/>
  <c r="K332" i="38"/>
  <c r="L332" i="38" s="1"/>
  <c r="J332" i="38"/>
  <c r="K331" i="38"/>
  <c r="L331" i="38"/>
  <c r="J331" i="38"/>
  <c r="K330" i="38"/>
  <c r="L330" i="38"/>
  <c r="J330" i="38"/>
  <c r="K329" i="38"/>
  <c r="L329" i="38"/>
  <c r="J329" i="38"/>
  <c r="K328" i="38"/>
  <c r="L328" i="38" s="1"/>
  <c r="J328" i="38"/>
  <c r="K327" i="38"/>
  <c r="L327" i="38"/>
  <c r="J327" i="38"/>
  <c r="K326" i="38"/>
  <c r="L326" i="38"/>
  <c r="J326" i="38"/>
  <c r="K325" i="38"/>
  <c r="L325" i="38"/>
  <c r="J325" i="38"/>
  <c r="M324" i="38"/>
  <c r="N324" i="38" s="1"/>
  <c r="K324" i="38"/>
  <c r="L324" i="38" s="1"/>
  <c r="J324" i="38"/>
  <c r="M323" i="38"/>
  <c r="N323" i="38"/>
  <c r="K323" i="38"/>
  <c r="L323" i="38"/>
  <c r="J323" i="38"/>
  <c r="M322" i="38"/>
  <c r="N322" i="38" s="1"/>
  <c r="K322" i="38"/>
  <c r="L322" i="38"/>
  <c r="J322" i="38"/>
  <c r="M321" i="38"/>
  <c r="N321" i="38"/>
  <c r="K321" i="38"/>
  <c r="L321" i="38"/>
  <c r="J321" i="38"/>
  <c r="M319" i="38"/>
  <c r="N319" i="38" s="1"/>
  <c r="K319" i="38"/>
  <c r="L319" i="38" s="1"/>
  <c r="J319" i="38"/>
  <c r="M317" i="38"/>
  <c r="N317" i="38"/>
  <c r="K317" i="38"/>
  <c r="L317" i="38"/>
  <c r="J317" i="38"/>
  <c r="K315" i="38"/>
  <c r="L315" i="38"/>
  <c r="J315" i="38"/>
  <c r="M314" i="38"/>
  <c r="N314" i="38"/>
  <c r="K314" i="38"/>
  <c r="L314" i="38"/>
  <c r="J314" i="38"/>
  <c r="M313" i="38"/>
  <c r="N313" i="38" s="1"/>
  <c r="K313" i="38"/>
  <c r="L313" i="38" s="1"/>
  <c r="J313" i="38"/>
  <c r="K312" i="38"/>
  <c r="L312" i="38"/>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c r="J304" i="38"/>
  <c r="K303" i="38"/>
  <c r="L303" i="38" s="1"/>
  <c r="J303" i="38"/>
  <c r="K302" i="38"/>
  <c r="L302" i="38"/>
  <c r="J302" i="38"/>
  <c r="K301" i="38"/>
  <c r="L301" i="38" s="1"/>
  <c r="J301" i="38"/>
  <c r="K300" i="38"/>
  <c r="L300" i="38"/>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c r="J294" i="38"/>
  <c r="I19" i="61"/>
  <c r="I20" i="61"/>
  <c r="I18" i="61"/>
  <c r="E19" i="61"/>
  <c r="E20" i="61"/>
  <c r="E18" i="61"/>
  <c r="K293" i="38"/>
  <c r="L293" i="38" s="1"/>
  <c r="J293" i="38"/>
  <c r="K292" i="38"/>
  <c r="L292" i="38"/>
  <c r="J292" i="38"/>
  <c r="D1" i="41"/>
  <c r="C1" i="30" s="1"/>
  <c r="C11" i="40"/>
  <c r="D5" i="37" s="1"/>
  <c r="B47" i="37"/>
  <c r="B48" i="37"/>
  <c r="A75" i="37"/>
  <c r="A76" i="37" s="1"/>
  <c r="A77" i="37" s="1"/>
  <c r="A78" i="37" s="1"/>
  <c r="A79" i="37" s="1"/>
  <c r="A80" i="37"/>
  <c r="A81" i="37"/>
  <c r="A82" i="37" s="1"/>
  <c r="A83" i="37"/>
  <c r="A84" i="37" s="1"/>
  <c r="A85" i="37" s="1"/>
  <c r="N66" i="37"/>
  <c r="N67" i="37"/>
  <c r="N68" i="37" s="1"/>
  <c r="N69" i="37" s="1"/>
  <c r="N70" i="37" s="1"/>
  <c r="A47" i="37"/>
  <c r="A48" i="37"/>
  <c r="A49" i="37"/>
  <c r="A50" i="37" s="1"/>
  <c r="A51" i="37"/>
  <c r="A52" i="37" s="1"/>
  <c r="A53" i="37"/>
  <c r="A54" i="37" s="1"/>
  <c r="A55" i="37"/>
  <c r="A56" i="37" s="1"/>
  <c r="A57" i="37" s="1"/>
  <c r="A58" i="37" s="1"/>
  <c r="A59" i="37" s="1"/>
  <c r="A60" i="37" s="1"/>
  <c r="A61" i="37"/>
  <c r="A62" i="37" s="1"/>
  <c r="A63" i="37" s="1"/>
  <c r="A64" i="37" s="1"/>
  <c r="A65" i="37"/>
  <c r="A66" i="37"/>
  <c r="A67" i="37" s="1"/>
  <c r="A68" i="37" s="1"/>
  <c r="A69" i="37" s="1"/>
  <c r="A70" i="37" s="1"/>
  <c r="N49" i="37"/>
  <c r="N50" i="37"/>
  <c r="N51" i="37"/>
  <c r="N52" i="37" s="1"/>
  <c r="N53" i="37"/>
  <c r="L12" i="37"/>
  <c r="L10" i="37"/>
  <c r="K11" i="37"/>
  <c r="J11" i="37"/>
  <c r="L9" i="37"/>
  <c r="L7" i="37"/>
  <c r="K8" i="37"/>
  <c r="J8" i="37"/>
  <c r="K6" i="37"/>
  <c r="J6" i="37"/>
  <c r="I6" i="37"/>
  <c r="C5" i="37"/>
  <c r="C4" i="37"/>
  <c r="D20" i="62"/>
  <c r="X18" i="62"/>
  <c r="X6" i="62"/>
  <c r="X11" i="62"/>
  <c r="AE11" i="62"/>
  <c r="X10" i="62"/>
  <c r="X9" i="62"/>
  <c r="X8" i="62"/>
  <c r="X7" i="62"/>
  <c r="AE7" i="62"/>
  <c r="AC6" i="62"/>
  <c r="AC7" i="62"/>
  <c r="AC8" i="62"/>
  <c r="AC9" i="62"/>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8" i="62" s="1"/>
  <c r="Q10" i="62"/>
  <c r="Q11" i="62"/>
  <c r="Q12" i="62"/>
  <c r="Q14" i="62"/>
  <c r="P13" i="62"/>
  <c r="P14" i="62"/>
  <c r="P5" i="62"/>
  <c r="P6" i="62"/>
  <c r="P7" i="62"/>
  <c r="P8" i="62"/>
  <c r="P9" i="62"/>
  <c r="P10" i="62"/>
  <c r="P18" i="62" s="1"/>
  <c r="E18" i="62" s="1"/>
  <c r="P11" i="62"/>
  <c r="P12" i="62"/>
  <c r="Y18" i="62"/>
  <c r="Y21" i="62" s="1"/>
  <c r="Z18" i="62"/>
  <c r="Y22" i="62"/>
  <c r="Z22" i="62"/>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T32" i="62"/>
  <c r="U21" i="62"/>
  <c r="U22" i="62"/>
  <c r="U23" i="62"/>
  <c r="U24" i="62"/>
  <c r="U25" i="62"/>
  <c r="U26" i="62"/>
  <c r="U27" i="62"/>
  <c r="U28" i="62"/>
  <c r="U29" i="62"/>
  <c r="U30" i="62"/>
  <c r="M286" i="38"/>
  <c r="N286" i="38"/>
  <c r="K286" i="38"/>
  <c r="L286" i="38" s="1"/>
  <c r="J286" i="38"/>
  <c r="K285" i="38"/>
  <c r="L285" i="38"/>
  <c r="J285" i="38"/>
  <c r="K284" i="38"/>
  <c r="L284" i="38" s="1"/>
  <c r="J284" i="38"/>
  <c r="K283" i="38"/>
  <c r="L283" i="38"/>
  <c r="J283" i="38"/>
  <c r="K282" i="38"/>
  <c r="L282" i="38" s="1"/>
  <c r="J282" i="38"/>
  <c r="M281" i="38"/>
  <c r="N281" i="38"/>
  <c r="K281" i="38"/>
  <c r="L281" i="38"/>
  <c r="J281" i="38"/>
  <c r="K87" i="38"/>
  <c r="L87" i="38" s="1"/>
  <c r="J87" i="38"/>
  <c r="H87" i="38"/>
  <c r="K273" i="38"/>
  <c r="L273" i="38" s="1"/>
  <c r="J273" i="38"/>
  <c r="K272" i="38"/>
  <c r="L272" i="38"/>
  <c r="J272" i="38"/>
  <c r="K236" i="38"/>
  <c r="L236" i="38" s="1"/>
  <c r="J236" i="38"/>
  <c r="K235" i="38"/>
  <c r="L235" i="38"/>
  <c r="J235" i="38"/>
  <c r="K234" i="38"/>
  <c r="L234" i="38" s="1"/>
  <c r="J234" i="38"/>
  <c r="K274" i="38"/>
  <c r="L274" i="38"/>
  <c r="J274" i="38"/>
  <c r="K280" i="38"/>
  <c r="L280" i="38" s="1"/>
  <c r="J280" i="38"/>
  <c r="K278" i="38"/>
  <c r="L278" i="38"/>
  <c r="J278" i="38"/>
  <c r="K275" i="38"/>
  <c r="L275" i="38" s="1"/>
  <c r="J275" i="38"/>
  <c r="M271" i="38"/>
  <c r="N271" i="38"/>
  <c r="K271" i="38"/>
  <c r="L271" i="38"/>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D33" i="60" s="1"/>
  <c r="N33" i="60" s="1"/>
  <c r="N34" i="60" s="1"/>
  <c r="P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c r="K265" i="38"/>
  <c r="L265" i="38" s="1"/>
  <c r="J265" i="38"/>
  <c r="M264" i="38"/>
  <c r="N264" i="38"/>
  <c r="K264" i="38"/>
  <c r="L264" i="38" s="1"/>
  <c r="J264" i="38"/>
  <c r="M263" i="38"/>
  <c r="N263" i="38"/>
  <c r="K263" i="38"/>
  <c r="L263" i="38"/>
  <c r="J263" i="38"/>
  <c r="M267" i="38"/>
  <c r="N267" i="38" s="1"/>
  <c r="K267" i="38"/>
  <c r="L267" i="38"/>
  <c r="J267" i="38"/>
  <c r="K269" i="38"/>
  <c r="L269" i="38"/>
  <c r="J269" i="38"/>
  <c r="K268" i="38"/>
  <c r="L268" i="38"/>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c r="J255" i="38"/>
  <c r="K254" i="38"/>
  <c r="L254" i="38" s="1"/>
  <c r="J254" i="38"/>
  <c r="K253" i="38"/>
  <c r="L253" i="38"/>
  <c r="J253" i="38"/>
  <c r="K252" i="38"/>
  <c r="L252" i="38" s="1"/>
  <c r="J252" i="38"/>
  <c r="K251" i="38"/>
  <c r="L251" i="38" s="1"/>
  <c r="J251" i="38"/>
  <c r="K250" i="38"/>
  <c r="L250" i="38" s="1"/>
  <c r="J250" i="38"/>
  <c r="K249" i="38"/>
  <c r="L249" i="38"/>
  <c r="J249" i="38"/>
  <c r="K248" i="38"/>
  <c r="L248" i="38" s="1"/>
  <c r="J248" i="38"/>
  <c r="K247" i="38"/>
  <c r="L247" i="38"/>
  <c r="J247" i="38"/>
  <c r="K246" i="38"/>
  <c r="L246" i="38" s="1"/>
  <c r="J246" i="38"/>
  <c r="K245" i="38"/>
  <c r="L245" i="38"/>
  <c r="J245" i="38"/>
  <c r="K244" i="38"/>
  <c r="L244" i="38" s="1"/>
  <c r="J244" i="38"/>
  <c r="K243" i="38"/>
  <c r="L243" i="38" s="1"/>
  <c r="J243" i="38"/>
  <c r="K242" i="38"/>
  <c r="L242" i="38" s="1"/>
  <c r="J242" i="38"/>
  <c r="K241" i="38"/>
  <c r="L241" i="38"/>
  <c r="J241" i="38"/>
  <c r="M240" i="38"/>
  <c r="N240" i="38" s="1"/>
  <c r="K240" i="38"/>
  <c r="L240" i="38"/>
  <c r="J240" i="38"/>
  <c r="M239" i="38"/>
  <c r="N239" i="38" s="1"/>
  <c r="K239" i="38"/>
  <c r="L239" i="38"/>
  <c r="J239" i="38"/>
  <c r="M238" i="38"/>
  <c r="N238" i="38" s="1"/>
  <c r="K238" i="38"/>
  <c r="L238" i="38" s="1"/>
  <c r="J238" i="38"/>
  <c r="M237" i="38"/>
  <c r="N237" i="38" s="1"/>
  <c r="K237" i="38"/>
  <c r="L237" i="38" s="1"/>
  <c r="J237" i="38"/>
  <c r="K233" i="38"/>
  <c r="L233" i="38" s="1"/>
  <c r="J233" i="38"/>
  <c r="K232" i="38"/>
  <c r="L232" i="38"/>
  <c r="J232" i="38"/>
  <c r="K231" i="38"/>
  <c r="L231" i="38"/>
  <c r="J231" i="38"/>
  <c r="K229" i="38"/>
  <c r="L229" i="38" s="1"/>
  <c r="J229" i="38"/>
  <c r="K228" i="38"/>
  <c r="L228" i="38"/>
  <c r="J228" i="38"/>
  <c r="K227" i="38"/>
  <c r="L227" i="38" s="1"/>
  <c r="J227" i="38"/>
  <c r="K226" i="38"/>
  <c r="L226" i="38"/>
  <c r="J226" i="38"/>
  <c r="K225" i="38"/>
  <c r="L225" i="38" s="1"/>
  <c r="J225" i="38"/>
  <c r="J11" i="38"/>
  <c r="K11" i="38"/>
  <c r="L11" i="38"/>
  <c r="M11" i="38"/>
  <c r="N11" i="38"/>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c r="H52" i="38"/>
  <c r="J52" i="38"/>
  <c r="K52" i="38"/>
  <c r="L52" i="38"/>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c r="H60" i="38"/>
  <c r="J60" i="38"/>
  <c r="K60" i="38"/>
  <c r="L60" i="38"/>
  <c r="H61" i="38"/>
  <c r="J61" i="38"/>
  <c r="K61" i="38"/>
  <c r="L61" i="38" s="1"/>
  <c r="H62" i="38"/>
  <c r="J62" i="38"/>
  <c r="K62" i="38"/>
  <c r="L62" i="38"/>
  <c r="H63" i="38"/>
  <c r="J63" i="38"/>
  <c r="K63" i="38"/>
  <c r="L63" i="38"/>
  <c r="M63" i="38"/>
  <c r="N63" i="38"/>
  <c r="H64" i="38"/>
  <c r="J64" i="38"/>
  <c r="K64" i="38"/>
  <c r="L64" i="38" s="1"/>
  <c r="M64" i="38"/>
  <c r="N64" i="38"/>
  <c r="H65" i="38"/>
  <c r="J65" i="38"/>
  <c r="K65" i="38"/>
  <c r="L65" i="38"/>
  <c r="H66" i="38"/>
  <c r="J66" i="38"/>
  <c r="K66" i="38"/>
  <c r="L66" i="38" s="1"/>
  <c r="M66" i="38"/>
  <c r="N66" i="38" s="1"/>
  <c r="H67" i="38"/>
  <c r="J67" i="38"/>
  <c r="K67" i="38"/>
  <c r="L67" i="38" s="1"/>
  <c r="M67" i="38"/>
  <c r="N67" i="38" s="1"/>
  <c r="H68" i="38"/>
  <c r="J68" i="38"/>
  <c r="K68" i="38"/>
  <c r="L68" i="38" s="1"/>
  <c r="M68" i="38"/>
  <c r="N68" i="38"/>
  <c r="H69" i="38"/>
  <c r="J69" i="38"/>
  <c r="K69" i="38"/>
  <c r="L69" i="38" s="1"/>
  <c r="M69" i="38"/>
  <c r="N69" i="38"/>
  <c r="H70" i="38"/>
  <c r="J70" i="38"/>
  <c r="K70" i="38"/>
  <c r="L70" i="38" s="1"/>
  <c r="H71" i="38"/>
  <c r="J71" i="38"/>
  <c r="K71" i="38"/>
  <c r="L71" i="38"/>
  <c r="M71" i="38"/>
  <c r="N71" i="38"/>
  <c r="H72" i="38"/>
  <c r="J72" i="38"/>
  <c r="K72" i="38"/>
  <c r="L72" i="38"/>
  <c r="M72" i="38"/>
  <c r="N72" i="38" s="1"/>
  <c r="H73" i="38"/>
  <c r="J73" i="38"/>
  <c r="K73" i="38"/>
  <c r="L73" i="38"/>
  <c r="M73" i="38"/>
  <c r="N73" i="38"/>
  <c r="H74" i="38"/>
  <c r="J74" i="38"/>
  <c r="K74" i="38"/>
  <c r="L74" i="38"/>
  <c r="M74" i="38"/>
  <c r="N74" i="38" s="1"/>
  <c r="H75" i="38"/>
  <c r="J75" i="38"/>
  <c r="K75" i="38"/>
  <c r="L75" i="38"/>
  <c r="M75" i="38"/>
  <c r="N75" i="38"/>
  <c r="H76" i="38"/>
  <c r="J76" i="38"/>
  <c r="K76" i="38"/>
  <c r="L76" i="38"/>
  <c r="H77" i="38"/>
  <c r="J77" i="38"/>
  <c r="K77" i="38"/>
  <c r="L77" i="38"/>
  <c r="H78" i="38"/>
  <c r="J78" i="38"/>
  <c r="K78" i="38"/>
  <c r="L78" i="38"/>
  <c r="H79" i="38"/>
  <c r="J79" i="38"/>
  <c r="K79" i="38"/>
  <c r="L79" i="38"/>
  <c r="H80" i="38"/>
  <c r="J80" i="38"/>
  <c r="K80" i="38"/>
  <c r="L80" i="38"/>
  <c r="H81" i="38"/>
  <c r="J81" i="38"/>
  <c r="K81" i="38"/>
  <c r="L81" i="38"/>
  <c r="H82" i="38"/>
  <c r="J82" i="38"/>
  <c r="K82" i="38"/>
  <c r="L82" i="38"/>
  <c r="H83" i="38"/>
  <c r="J83" i="38"/>
  <c r="K83" i="38"/>
  <c r="L83" i="38"/>
  <c r="M83" i="38"/>
  <c r="N83" i="38"/>
  <c r="H84" i="38"/>
  <c r="J84" i="38"/>
  <c r="K84" i="38"/>
  <c r="L84" i="38"/>
  <c r="H85" i="38"/>
  <c r="J85" i="38"/>
  <c r="K85" i="38"/>
  <c r="L85" i="38"/>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c r="M92" i="38"/>
  <c r="N92" i="38"/>
  <c r="H93" i="38"/>
  <c r="J93" i="38"/>
  <c r="K93" i="38"/>
  <c r="L93" i="38" s="1"/>
  <c r="H94" i="38"/>
  <c r="J94" i="38"/>
  <c r="K94" i="38"/>
  <c r="L94" i="38" s="1"/>
  <c r="H95" i="38"/>
  <c r="J95" i="38"/>
  <c r="K95" i="38"/>
  <c r="L95" i="38" s="1"/>
  <c r="H96" i="38"/>
  <c r="J96" i="38"/>
  <c r="K96" i="38"/>
  <c r="L96" i="38" s="1"/>
  <c r="M96" i="38"/>
  <c r="N96" i="38"/>
  <c r="H97" i="38"/>
  <c r="J97" i="38"/>
  <c r="K97" i="38"/>
  <c r="L97" i="38"/>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c r="H109" i="38"/>
  <c r="J109" i="38"/>
  <c r="K109" i="38"/>
  <c r="L109" i="38"/>
  <c r="H110" i="38"/>
  <c r="J110" i="38"/>
  <c r="K110" i="38"/>
  <c r="L110" i="38" s="1"/>
  <c r="H111" i="38"/>
  <c r="J111" i="38"/>
  <c r="K111" i="38"/>
  <c r="L111" i="38"/>
  <c r="M111" i="38"/>
  <c r="N111" i="38" s="1"/>
  <c r="H112" i="38"/>
  <c r="J112" i="38"/>
  <c r="K112" i="38"/>
  <c r="L112" i="38"/>
  <c r="M112" i="38"/>
  <c r="N112" i="38"/>
  <c r="J113" i="38"/>
  <c r="K113" i="38"/>
  <c r="L113" i="38" s="1"/>
  <c r="M113" i="38"/>
  <c r="N113" i="38" s="1"/>
  <c r="J114" i="38"/>
  <c r="K114" i="38"/>
  <c r="L114" i="38"/>
  <c r="M114" i="38"/>
  <c r="N114" i="38"/>
  <c r="J115" i="38"/>
  <c r="K115" i="38"/>
  <c r="L115" i="38"/>
  <c r="M115" i="38"/>
  <c r="N115" i="38" s="1"/>
  <c r="J116" i="38"/>
  <c r="K116" i="38"/>
  <c r="L116" i="38" s="1"/>
  <c r="M116" i="38"/>
  <c r="N116" i="38"/>
  <c r="J117" i="38"/>
  <c r="K117" i="38"/>
  <c r="L117" i="38"/>
  <c r="J118" i="38"/>
  <c r="K118" i="38"/>
  <c r="L118" i="38"/>
  <c r="M118" i="38"/>
  <c r="N118" i="38"/>
  <c r="J119" i="38"/>
  <c r="K119" i="38"/>
  <c r="L119" i="38" s="1"/>
  <c r="M119" i="38"/>
  <c r="N119" i="38"/>
  <c r="J120" i="38"/>
  <c r="K120" i="38"/>
  <c r="L120" i="38"/>
  <c r="M120" i="38"/>
  <c r="N120" i="38"/>
  <c r="J121" i="38"/>
  <c r="K121" i="38"/>
  <c r="L121" i="38" s="1"/>
  <c r="J122" i="38"/>
  <c r="K122" i="38"/>
  <c r="L122" i="38"/>
  <c r="M122" i="38"/>
  <c r="N122" i="38"/>
  <c r="J123" i="38"/>
  <c r="K123" i="38"/>
  <c r="L123" i="38"/>
  <c r="M123" i="38"/>
  <c r="N123" i="38" s="1"/>
  <c r="J124" i="38"/>
  <c r="K124" i="38"/>
  <c r="L124" i="38" s="1"/>
  <c r="M124" i="38"/>
  <c r="N124" i="38"/>
  <c r="H125" i="38"/>
  <c r="J125" i="38"/>
  <c r="K125" i="38"/>
  <c r="L125" i="38" s="1"/>
  <c r="M125" i="38"/>
  <c r="N125" i="38"/>
  <c r="H126" i="38"/>
  <c r="J126" i="38"/>
  <c r="K126" i="38"/>
  <c r="L126" i="38" s="1"/>
  <c r="M126" i="38"/>
  <c r="N126" i="38"/>
  <c r="H127" i="38"/>
  <c r="J127" i="38"/>
  <c r="K127" i="38"/>
  <c r="L127" i="38" s="1"/>
  <c r="M127" i="38"/>
  <c r="N127" i="38"/>
  <c r="H128" i="38"/>
  <c r="J128" i="38"/>
  <c r="K128" i="38"/>
  <c r="L128" i="38" s="1"/>
  <c r="M128" i="38"/>
  <c r="N128" i="38"/>
  <c r="H129" i="38"/>
  <c r="J129" i="38"/>
  <c r="K129" i="38"/>
  <c r="L129" i="38" s="1"/>
  <c r="H130" i="38"/>
  <c r="J130" i="38"/>
  <c r="K130" i="38"/>
  <c r="L130" i="38"/>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c r="M143" i="38"/>
  <c r="N143" i="38"/>
  <c r="H144" i="38"/>
  <c r="J144" i="38"/>
  <c r="K144" i="38"/>
  <c r="L144" i="38"/>
  <c r="J145" i="38"/>
  <c r="K145" i="38"/>
  <c r="L145" i="38"/>
  <c r="M145" i="38"/>
  <c r="N145" i="38"/>
  <c r="J146" i="38"/>
  <c r="K146" i="38"/>
  <c r="L146" i="38"/>
  <c r="M146" i="38"/>
  <c r="N146" i="38" s="1"/>
  <c r="J147" i="38"/>
  <c r="K147" i="38"/>
  <c r="L147" i="38"/>
  <c r="M147" i="38"/>
  <c r="N147" i="38"/>
  <c r="J148" i="38"/>
  <c r="K148" i="38"/>
  <c r="L148" i="38"/>
  <c r="M148" i="38"/>
  <c r="N148" i="38"/>
  <c r="J149" i="38"/>
  <c r="K149" i="38"/>
  <c r="L149" i="38" s="1"/>
  <c r="J150" i="38"/>
  <c r="K150" i="38"/>
  <c r="L150" i="38"/>
  <c r="M150" i="38"/>
  <c r="N150" i="38"/>
  <c r="J151" i="38"/>
  <c r="K151" i="38"/>
  <c r="L151" i="38"/>
  <c r="M151" i="38"/>
  <c r="N151" i="38"/>
  <c r="J152" i="38"/>
  <c r="K152" i="38"/>
  <c r="L152" i="38"/>
  <c r="M152" i="38"/>
  <c r="N152" i="38"/>
  <c r="J153" i="38"/>
  <c r="K153" i="38"/>
  <c r="L153" i="38" s="1"/>
  <c r="J154" i="38"/>
  <c r="K154" i="38"/>
  <c r="L154" i="38"/>
  <c r="M154" i="38"/>
  <c r="N154" i="38"/>
  <c r="J155" i="38"/>
  <c r="K155" i="38"/>
  <c r="L155" i="38"/>
  <c r="M155" i="38"/>
  <c r="N155" i="38" s="1"/>
  <c r="J156" i="38"/>
  <c r="K156" i="38"/>
  <c r="L156" i="38"/>
  <c r="M156" i="38"/>
  <c r="N156" i="38"/>
  <c r="J157" i="38"/>
  <c r="K157" i="38"/>
  <c r="L157" i="38" s="1"/>
  <c r="M157" i="38"/>
  <c r="N157" i="38"/>
  <c r="J158" i="38"/>
  <c r="K158" i="38"/>
  <c r="L158" i="38" s="1"/>
  <c r="M158" i="38"/>
  <c r="N158" i="38" s="1"/>
  <c r="J159" i="38"/>
  <c r="K159" i="38"/>
  <c r="L159" i="38"/>
  <c r="M159" i="38"/>
  <c r="N159" i="38" s="1"/>
  <c r="J160" i="38"/>
  <c r="K160" i="38"/>
  <c r="L160" i="38"/>
  <c r="M160" i="38"/>
  <c r="N160" i="38"/>
  <c r="J161" i="38"/>
  <c r="K161" i="38"/>
  <c r="L161" i="38" s="1"/>
  <c r="M161" i="38"/>
  <c r="N161" i="38"/>
  <c r="J162" i="38"/>
  <c r="K162" i="38"/>
  <c r="L162" i="38"/>
  <c r="M162" i="38"/>
  <c r="N162" i="38"/>
  <c r="J163" i="38"/>
  <c r="K163" i="38"/>
  <c r="L163" i="38" s="1"/>
  <c r="J164" i="38"/>
  <c r="K164" i="38"/>
  <c r="L164" i="38"/>
  <c r="J165" i="38"/>
  <c r="K165" i="38"/>
  <c r="L165" i="38" s="1"/>
  <c r="M165" i="38"/>
  <c r="N165" i="38"/>
  <c r="J166" i="38"/>
  <c r="K166" i="38"/>
  <c r="L166" i="38" s="1"/>
  <c r="M166" i="38"/>
  <c r="N166" i="38" s="1"/>
  <c r="J167" i="38"/>
  <c r="K167" i="38"/>
  <c r="L167" i="38"/>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c r="J173" i="38"/>
  <c r="K173" i="38"/>
  <c r="L173" i="38" s="1"/>
  <c r="M173" i="38"/>
  <c r="N173" i="38"/>
  <c r="J174" i="38"/>
  <c r="K174" i="38"/>
  <c r="L174" i="38" s="1"/>
  <c r="M174" i="38"/>
  <c r="N174" i="38" s="1"/>
  <c r="J175" i="38"/>
  <c r="K175" i="38"/>
  <c r="L175" i="38"/>
  <c r="M175" i="38"/>
  <c r="N175" i="38" s="1"/>
  <c r="J176" i="38"/>
  <c r="K176" i="38"/>
  <c r="L176" i="38"/>
  <c r="M176" i="38"/>
  <c r="N176" i="38"/>
  <c r="J177" i="38"/>
  <c r="K177" i="38"/>
  <c r="L177" i="38" s="1"/>
  <c r="M177" i="38"/>
  <c r="N177" i="38" s="1"/>
  <c r="J178" i="38"/>
  <c r="K178" i="38"/>
  <c r="L178" i="38"/>
  <c r="M178" i="38"/>
  <c r="N178" i="38"/>
  <c r="J179" i="38"/>
  <c r="K179" i="38"/>
  <c r="L179" i="38" s="1"/>
  <c r="M179" i="38"/>
  <c r="N179" i="38" s="1"/>
  <c r="J180" i="38"/>
  <c r="K180" i="38"/>
  <c r="L180" i="38"/>
  <c r="M180" i="38"/>
  <c r="N180" i="38"/>
  <c r="J181" i="38"/>
  <c r="K181" i="38"/>
  <c r="L181" i="38"/>
  <c r="J182" i="38"/>
  <c r="K182" i="38"/>
  <c r="L182" i="38"/>
  <c r="J183" i="38"/>
  <c r="K183" i="38"/>
  <c r="L183" i="38" s="1"/>
  <c r="J184" i="38"/>
  <c r="K184" i="38"/>
  <c r="L184" i="38"/>
  <c r="J185" i="38"/>
  <c r="K185" i="38"/>
  <c r="L185" i="38"/>
  <c r="J187" i="38"/>
  <c r="K187" i="38"/>
  <c r="L187" i="38"/>
  <c r="M187" i="38"/>
  <c r="N187" i="38" s="1"/>
  <c r="J188" i="38"/>
  <c r="K188" i="38"/>
  <c r="L188" i="38" s="1"/>
  <c r="M188" i="38"/>
  <c r="N188" i="38"/>
  <c r="J189" i="38"/>
  <c r="K189" i="38"/>
  <c r="L189" i="38"/>
  <c r="J190" i="38"/>
  <c r="K190" i="38"/>
  <c r="L190" i="38"/>
  <c r="J191" i="38"/>
  <c r="K191" i="38"/>
  <c r="L191" i="38" s="1"/>
  <c r="J192" i="38"/>
  <c r="K192" i="38"/>
  <c r="L192" i="38"/>
  <c r="J193" i="38"/>
  <c r="K193" i="38"/>
  <c r="L193" i="38" s="1"/>
  <c r="J194" i="38"/>
  <c r="K194" i="38"/>
  <c r="L194" i="38"/>
  <c r="J195" i="38"/>
  <c r="K195" i="38"/>
  <c r="L195" i="38" s="1"/>
  <c r="J196" i="38"/>
  <c r="K196" i="38"/>
  <c r="L196" i="38"/>
  <c r="J197" i="38"/>
  <c r="K197" i="38"/>
  <c r="L197" i="38"/>
  <c r="J198" i="38"/>
  <c r="K198" i="38"/>
  <c r="L198" i="38"/>
  <c r="J199" i="38"/>
  <c r="K199" i="38"/>
  <c r="L199" i="38" s="1"/>
  <c r="J200" i="38"/>
  <c r="K200" i="38"/>
  <c r="L200" i="38"/>
  <c r="J201" i="38"/>
  <c r="K201" i="38"/>
  <c r="L201" i="38" s="1"/>
  <c r="J202" i="38"/>
  <c r="K202" i="38"/>
  <c r="L202" i="38"/>
  <c r="M202" i="38"/>
  <c r="N202" i="38" s="1"/>
  <c r="J203" i="38"/>
  <c r="K203" i="38"/>
  <c r="L203" i="38"/>
  <c r="M203" i="38"/>
  <c r="N203" i="38"/>
  <c r="J204" i="38"/>
  <c r="K204" i="38"/>
  <c r="L204" i="38"/>
  <c r="J205" i="38"/>
  <c r="K205" i="38"/>
  <c r="L205" i="38"/>
  <c r="J206" i="38"/>
  <c r="K206" i="38"/>
  <c r="L206" i="38" s="1"/>
  <c r="J207" i="38"/>
  <c r="K207" i="38"/>
  <c r="L207" i="38"/>
  <c r="J208" i="38"/>
  <c r="J216" i="38"/>
  <c r="K208" i="38"/>
  <c r="L208" i="38"/>
  <c r="K216" i="38"/>
  <c r="L216" i="38"/>
  <c r="M208" i="38"/>
  <c r="N208" i="38" s="1"/>
  <c r="J209" i="38"/>
  <c r="K209" i="38"/>
  <c r="L209" i="38"/>
  <c r="M209" i="38"/>
  <c r="N209" i="38"/>
  <c r="J210" i="38"/>
  <c r="K210" i="38"/>
  <c r="L210" i="38"/>
  <c r="J211" i="38"/>
  <c r="K211" i="38"/>
  <c r="L211" i="38"/>
  <c r="J212" i="38"/>
  <c r="K212" i="38"/>
  <c r="L212" i="38"/>
  <c r="J213" i="38"/>
  <c r="K213" i="38"/>
  <c r="L213" i="38"/>
  <c r="J214" i="38"/>
  <c r="K214" i="38"/>
  <c r="L214" i="38"/>
  <c r="J215" i="38"/>
  <c r="K215" i="38"/>
  <c r="L215" i="38"/>
  <c r="J217" i="38"/>
  <c r="K217" i="38"/>
  <c r="L217" i="38"/>
  <c r="J218" i="38"/>
  <c r="K218" i="38"/>
  <c r="L218" i="38"/>
  <c r="J219" i="38"/>
  <c r="K219" i="38"/>
  <c r="L219" i="38"/>
  <c r="J220" i="38"/>
  <c r="K220" i="38"/>
  <c r="L220" i="38"/>
  <c r="J221" i="38"/>
  <c r="K221" i="38"/>
  <c r="L221" i="38"/>
  <c r="J222" i="38"/>
  <c r="K222" i="38"/>
  <c r="L222" i="38"/>
  <c r="J223" i="38"/>
  <c r="K223" i="38"/>
  <c r="L223" i="38"/>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F36" i="38"/>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J12" i="37"/>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D25" i="60" l="1"/>
  <c r="N25" i="60" s="1"/>
  <c r="N26" i="60" s="1"/>
  <c r="P26" i="60" s="1"/>
  <c r="E29" i="60"/>
  <c r="M30" i="60" s="1"/>
  <c r="M31" i="60" s="1"/>
  <c r="O31" i="60" s="1"/>
  <c r="C25" i="60"/>
  <c r="J25" i="60" s="1"/>
  <c r="D6" i="38"/>
  <c r="I123" i="42"/>
  <c r="B46" i="40"/>
  <c r="F15" i="34" s="1"/>
  <c r="E33" i="60"/>
  <c r="M34" i="60" s="1"/>
  <c r="M35" i="60" s="1"/>
  <c r="O35" i="60" s="1"/>
  <c r="C6" i="38"/>
  <c r="J6" i="38" s="1"/>
  <c r="M122" i="42"/>
  <c r="H6" i="38"/>
  <c r="B51" i="40"/>
  <c r="B18" i="30" s="1"/>
  <c r="J99" i="42"/>
  <c r="N122" i="42"/>
  <c r="H99" i="42"/>
  <c r="L122" i="42"/>
  <c r="B42" i="40"/>
  <c r="F11" i="34" s="1"/>
  <c r="C39" i="40"/>
  <c r="L123" i="42"/>
  <c r="B44" i="40"/>
  <c r="F13" i="34" s="1"/>
  <c r="K12" i="37"/>
  <c r="F48" i="37"/>
  <c r="K7" i="37"/>
  <c r="K9" i="37"/>
  <c r="J7" i="37"/>
  <c r="J9" i="37"/>
  <c r="P25" i="60"/>
  <c r="D21" i="38"/>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O6" i="39"/>
  <c r="C36" i="38"/>
  <c r="M36" i="38"/>
  <c r="N34" i="38" s="1"/>
  <c r="J36" i="38"/>
  <c r="F22" i="38" s="1"/>
  <c r="P33" i="60"/>
  <c r="G99" i="42"/>
  <c r="J94" i="42"/>
  <c r="K99" i="42"/>
  <c r="H94" i="42"/>
  <c r="K94" i="42"/>
  <c r="G123" i="42"/>
  <c r="B13" i="60"/>
  <c r="N99" i="42"/>
  <c r="B5" i="38"/>
  <c r="E6" i="38"/>
  <c r="J8" i="38" s="1"/>
  <c r="O30" i="60"/>
  <c r="AZ12" i="62"/>
  <c r="BC12" i="62"/>
  <c r="AS12" i="62"/>
  <c r="AU12" i="62"/>
  <c r="BO12" i="62"/>
  <c r="BH12" i="62"/>
  <c r="BI12" i="62"/>
  <c r="AO12" i="62"/>
  <c r="AD12" i="62"/>
  <c r="AD17" i="62" s="1"/>
  <c r="AH17" i="62" s="1"/>
  <c r="BT12" i="62"/>
  <c r="BE12" i="62"/>
  <c r="X3" i="62"/>
  <c r="AE12" i="62"/>
  <c r="BM12" i="62"/>
  <c r="AY12" i="62"/>
  <c r="AI12" i="62"/>
  <c r="AP12" i="62"/>
  <c r="AK12" i="62"/>
  <c r="C47" i="37"/>
  <c r="H47" i="37" s="1"/>
  <c r="D50" i="37"/>
  <c r="C54" i="37"/>
  <c r="H54" i="37" s="1"/>
  <c r="O5" i="39"/>
  <c r="C49" i="37"/>
  <c r="D52" i="37"/>
  <c r="D49" i="37"/>
  <c r="C46" i="37"/>
  <c r="D51" i="37"/>
  <c r="D46" i="37"/>
  <c r="C50" i="37"/>
  <c r="H50" i="37" s="1"/>
  <c r="F32" i="37"/>
  <c r="F37" i="37" s="1"/>
  <c r="D47" i="37"/>
  <c r="C51" i="37"/>
  <c r="H51" i="37" s="1"/>
  <c r="F33" i="37"/>
  <c r="F38" i="37" s="1"/>
  <c r="C52" i="37"/>
  <c r="P46" i="37"/>
  <c r="D48" i="37"/>
  <c r="D54" i="37"/>
  <c r="C48" i="37"/>
  <c r="H48" i="37" s="1"/>
  <c r="T6" i="62"/>
  <c r="U8" i="62"/>
  <c r="U6" i="62"/>
  <c r="U9" i="62"/>
  <c r="E19" i="62"/>
  <c r="T12" i="62"/>
  <c r="T13" i="62"/>
  <c r="E17" i="62"/>
  <c r="AD18" i="62" s="1"/>
  <c r="T8" i="62"/>
  <c r="U11" i="62"/>
  <c r="T14" i="62"/>
  <c r="T10" i="62"/>
  <c r="B52" i="37"/>
  <c r="B53" i="37" s="1"/>
  <c r="B54" i="37" s="1"/>
  <c r="E51" i="37"/>
  <c r="G37" i="37"/>
  <c r="C27" i="38"/>
  <c r="C28" i="38" s="1"/>
  <c r="BD12" i="62"/>
  <c r="U13" i="62"/>
  <c r="AN12" i="62"/>
  <c r="G18" i="62"/>
  <c r="T7" i="62" s="1"/>
  <c r="AX12" i="62"/>
  <c r="D2" i="38"/>
  <c r="D3" i="39"/>
  <c r="F18" i="62"/>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Z4" i="62" s="1"/>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AA4" i="62" s="1"/>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K6" i="38"/>
  <c r="L6" i="38" s="1"/>
  <c r="K8" i="38" s="1"/>
  <c r="H10" i="38" s="1"/>
  <c r="BJ6" i="62"/>
  <c r="BM6" i="62"/>
  <c r="E6" i="39"/>
  <c r="D6" i="39" s="1"/>
  <c r="R6" i="39" s="1"/>
  <c r="D21" i="30" s="1"/>
  <c r="Q46" i="37"/>
  <c r="G38" i="37"/>
  <c r="E38" i="37" s="1"/>
  <c r="AE14" i="62"/>
  <c r="AE17" i="62" s="1"/>
  <c r="AG17" i="62" s="1"/>
  <c r="BE14" i="62"/>
  <c r="AU9" i="62"/>
  <c r="BH9" i="62"/>
  <c r="BJ9" i="62"/>
  <c r="AS9" i="62"/>
  <c r="E52" i="37"/>
  <c r="F49" i="37"/>
  <c r="E47" i="37"/>
  <c r="E54" i="37"/>
  <c r="F50" i="37"/>
  <c r="E49" i="37"/>
  <c r="E46" i="37"/>
  <c r="F46" i="37"/>
  <c r="F52" i="37"/>
  <c r="E48" i="37"/>
  <c r="F47" i="37"/>
  <c r="F53" i="37"/>
  <c r="E50" i="37"/>
  <c r="F51" i="37"/>
  <c r="E53" i="37"/>
  <c r="O34" i="60" l="1"/>
  <c r="K25" i="60"/>
  <c r="H25" i="60"/>
  <c r="I25" i="60"/>
  <c r="C51" i="40"/>
  <c r="B15" i="30"/>
  <c r="M6" i="38"/>
  <c r="N4" i="38" s="1"/>
  <c r="G51" i="37"/>
  <c r="H22" i="38"/>
  <c r="K52" i="37"/>
  <c r="K46" i="37"/>
  <c r="K49" i="37"/>
  <c r="L46" i="37"/>
  <c r="L52" i="37"/>
  <c r="G46" i="37"/>
  <c r="H46" i="37"/>
  <c r="K51" i="37"/>
  <c r="E32" i="37"/>
  <c r="E8" i="39" s="1"/>
  <c r="D8" i="39" s="1"/>
  <c r="E33" i="37"/>
  <c r="E9" i="39" s="1"/>
  <c r="D9" i="39" s="1"/>
  <c r="I48" i="37"/>
  <c r="O7" i="39"/>
  <c r="O8" i="39" s="1"/>
  <c r="E21" i="38"/>
  <c r="D27" i="38"/>
  <c r="D28" i="38" s="1"/>
  <c r="K32" i="38"/>
  <c r="N29" i="38" s="1"/>
  <c r="K50" i="37"/>
  <c r="E75" i="39"/>
  <c r="G75" i="39"/>
  <c r="C28" i="39" s="1"/>
  <c r="D75" i="39"/>
  <c r="C67" i="39" s="1"/>
  <c r="F75" i="39"/>
  <c r="I50" i="37"/>
  <c r="C21" i="38"/>
  <c r="F21" i="38" s="1"/>
  <c r="J32" i="38"/>
  <c r="M29" i="38"/>
  <c r="I54" i="37"/>
  <c r="E73" i="39"/>
  <c r="G73" i="39"/>
  <c r="C26" i="39" s="1"/>
  <c r="D73" i="39"/>
  <c r="C65" i="39" s="1"/>
  <c r="F73" i="39"/>
  <c r="G52" i="37"/>
  <c r="G54" i="37"/>
  <c r="E30" i="38"/>
  <c r="G50" i="37"/>
  <c r="L50" i="37"/>
  <c r="I49" i="37"/>
  <c r="G74" i="39"/>
  <c r="C27" i="39" s="1"/>
  <c r="E74" i="39"/>
  <c r="D74" i="39"/>
  <c r="C66" i="39" s="1"/>
  <c r="F74" i="39"/>
  <c r="M32" i="38"/>
  <c r="L29" i="38" s="1"/>
  <c r="J29" i="38" s="1"/>
  <c r="I51" i="37"/>
  <c r="L47" i="37"/>
  <c r="AM5" i="62"/>
  <c r="AH8" i="62"/>
  <c r="BL5" i="62"/>
  <c r="AR13" i="62"/>
  <c r="AW11" i="62"/>
  <c r="AR6" i="62"/>
  <c r="BB8" i="62"/>
  <c r="BQ9" i="62"/>
  <c r="BG13" i="62"/>
  <c r="AM10" i="62"/>
  <c r="BQ13" i="62"/>
  <c r="BB9" i="62"/>
  <c r="BQ11" i="62"/>
  <c r="BB7" i="62"/>
  <c r="AH6" i="62"/>
  <c r="BG8" i="62"/>
  <c r="AW5" i="62"/>
  <c r="AM12" i="62"/>
  <c r="AR8" i="62"/>
  <c r="BL11" i="62"/>
  <c r="BV14" i="62"/>
  <c r="BL10" i="62"/>
  <c r="AW10" i="62"/>
  <c r="AR10" i="62"/>
  <c r="BG6" i="62"/>
  <c r="AR7" i="62"/>
  <c r="AM7" i="62"/>
  <c r="BL6" i="62"/>
  <c r="AM14" i="62"/>
  <c r="BB11" i="62"/>
  <c r="AR14" i="62"/>
  <c r="AW12" i="62"/>
  <c r="BL12" i="62"/>
  <c r="BV9" i="62"/>
  <c r="BB13" i="62"/>
  <c r="BQ5" i="62"/>
  <c r="BL13" i="62"/>
  <c r="AH5" i="62"/>
  <c r="AW8" i="62"/>
  <c r="BV10" i="62"/>
  <c r="AH7" i="62"/>
  <c r="BG5" i="62"/>
  <c r="BG12" i="62"/>
  <c r="BQ8" i="62"/>
  <c r="AM6" i="62"/>
  <c r="AW6" i="62"/>
  <c r="BL7" i="62"/>
  <c r="BB6" i="62"/>
  <c r="BB5" i="62"/>
  <c r="BG10" i="62"/>
  <c r="BQ6" i="62"/>
  <c r="AW13" i="62"/>
  <c r="BV6" i="62"/>
  <c r="AH9" i="62"/>
  <c r="BG14" i="62"/>
  <c r="AM13" i="62"/>
  <c r="BG9" i="62"/>
  <c r="BV11" i="62"/>
  <c r="BL8" i="62"/>
  <c r="AM8" i="62"/>
  <c r="BG11" i="62"/>
  <c r="BV5" i="62"/>
  <c r="BB14" i="62"/>
  <c r="BV13" i="62"/>
  <c r="AH14" i="62"/>
  <c r="AR9" i="62"/>
  <c r="BQ14" i="62"/>
  <c r="AR12" i="62"/>
  <c r="AW7" i="62"/>
  <c r="BQ12" i="62"/>
  <c r="BV12" i="62"/>
  <c r="AH10" i="62"/>
  <c r="AM9" i="62"/>
  <c r="AH13" i="62"/>
  <c r="BQ7" i="62"/>
  <c r="AH12" i="62"/>
  <c r="AW14" i="62"/>
  <c r="BQ10" i="62"/>
  <c r="AR5" i="62"/>
  <c r="BL14" i="62"/>
  <c r="BV7" i="62"/>
  <c r="BV8" i="62"/>
  <c r="BB10" i="62"/>
  <c r="AM11" i="62"/>
  <c r="BG7" i="62"/>
  <c r="AW9" i="62"/>
  <c r="AH11" i="62"/>
  <c r="AR11" i="62"/>
  <c r="BB12" i="62"/>
  <c r="BL9" i="62"/>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AG18" i="62" s="1"/>
  <c r="S13" i="62"/>
  <c r="S11" i="62"/>
  <c r="S8" i="62"/>
  <c r="S7" i="62"/>
  <c r="S6" i="62"/>
  <c r="E12" i="39"/>
  <c r="D12" i="39" s="1"/>
  <c r="F12" i="39"/>
  <c r="G22" i="38"/>
  <c r="U12" i="62"/>
  <c r="L49" i="37"/>
  <c r="I52" i="37"/>
  <c r="H52" i="37"/>
  <c r="G17" i="62"/>
  <c r="AF18" i="62" s="1"/>
  <c r="G19" i="62"/>
  <c r="T11" i="62"/>
  <c r="L48" i="37"/>
  <c r="T5" i="62"/>
  <c r="T18" i="62" s="1"/>
  <c r="O26" i="60"/>
  <c r="M27" i="60"/>
  <c r="O27" i="60" s="1"/>
  <c r="I46" i="37"/>
  <c r="U10" i="62"/>
  <c r="D53" i="37"/>
  <c r="L53" i="37" s="1"/>
  <c r="L51" i="37"/>
  <c r="K47" i="37"/>
  <c r="I47" i="37"/>
  <c r="C30" i="38"/>
  <c r="C29" i="38"/>
  <c r="U5" i="62"/>
  <c r="U18" i="62" s="1"/>
  <c r="U7" i="62"/>
  <c r="J29" i="60"/>
  <c r="I29" i="60"/>
  <c r="H29" i="60"/>
  <c r="K29" i="60"/>
  <c r="U14" i="62"/>
  <c r="L54" i="37"/>
  <c r="Y4" i="62"/>
  <c r="AA3" i="62" s="1"/>
  <c r="P29" i="60"/>
  <c r="N30" i="60"/>
  <c r="P30" i="60" s="1"/>
  <c r="K48" i="37"/>
  <c r="G48" i="37"/>
  <c r="G49" i="37"/>
  <c r="H49" i="37"/>
  <c r="T9" i="62"/>
  <c r="L25" i="60" l="1"/>
  <c r="J51" i="37"/>
  <c r="N6" i="38"/>
  <c r="M8" i="38" s="1"/>
  <c r="F10" i="38" s="1"/>
  <c r="C10" i="38" s="1"/>
  <c r="H20" i="30" s="1"/>
  <c r="F9" i="39"/>
  <c r="J46" i="37"/>
  <c r="F8" i="39"/>
  <c r="J48" i="37"/>
  <c r="J54" i="37"/>
  <c r="O9" i="39"/>
  <c r="O10" i="39" s="1"/>
  <c r="L7" i="39" s="1"/>
  <c r="F22"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DB9" i="62" s="1"/>
  <c r="CU6" i="62"/>
  <c r="H19" i="62"/>
  <c r="I53" i="37"/>
  <c r="G53" i="37"/>
  <c r="H53" i="37"/>
  <c r="K53" i="37"/>
  <c r="CG9" i="62"/>
  <c r="CY6" i="62"/>
  <c r="D20" i="39" l="1"/>
  <c r="R20" i="39" s="1"/>
  <c r="H9" i="60" s="1"/>
  <c r="L55" i="37"/>
  <c r="B21" i="38"/>
  <c r="C22" i="38"/>
  <c r="F27" i="38" s="1"/>
  <c r="F28" i="38" s="1"/>
  <c r="F29" i="38" s="1"/>
  <c r="AE22" i="62"/>
  <c r="AH21" i="62"/>
  <c r="AE27" i="62" s="1"/>
  <c r="CF14" i="62"/>
  <c r="CZ8" i="62"/>
  <c r="CR13" i="62"/>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CQ14" i="62"/>
  <c r="CJ12" i="62"/>
  <c r="CA12" i="62"/>
  <c r="CJ10" i="62"/>
  <c r="DA14" i="62"/>
  <c r="CC12" i="62"/>
  <c r="H19" i="30" l="1"/>
  <c r="D34" i="39"/>
  <c r="D52" i="39"/>
  <c r="F30" i="38"/>
  <c r="G32" i="38" s="1"/>
  <c r="H32" i="38" s="1"/>
  <c r="I38" i="39"/>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D14" i="39" l="1"/>
  <c r="R14" i="39" s="1"/>
  <c r="H11" i="30" s="1"/>
  <c r="I15" i="39"/>
  <c r="L57" i="37"/>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J57" i="37" l="1"/>
  <c r="F15" i="39"/>
  <c r="AF29" i="62"/>
  <c r="L58" i="37"/>
  <c r="H58" i="37"/>
  <c r="I58" i="37"/>
  <c r="K58" i="37"/>
  <c r="G58" i="37"/>
  <c r="B60" i="37"/>
  <c r="F59" i="37"/>
  <c r="E59" i="37"/>
  <c r="C59" i="37"/>
  <c r="D59" i="37"/>
  <c r="E15" i="39"/>
  <c r="AI31" i="62"/>
  <c r="AH28" i="62" s="1"/>
  <c r="AH29" i="62"/>
  <c r="AH30" i="62"/>
  <c r="AG29" i="62"/>
  <c r="D15" i="39"/>
  <c r="R15" i="39" s="1"/>
  <c r="H12" i="30" s="1"/>
  <c r="AI28" i="62"/>
  <c r="AI30" i="62"/>
  <c r="AH31" i="62"/>
  <c r="F11" i="60"/>
  <c r="C11" i="60"/>
  <c r="E11" i="60"/>
  <c r="J58" i="37" l="1"/>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H79" i="37"/>
  <c r="I79" i="37"/>
  <c r="G79" i="37"/>
  <c r="E80" i="37"/>
  <c r="B81" i="37"/>
  <c r="F80" i="37"/>
  <c r="D80" i="37"/>
  <c r="C80" i="37"/>
  <c r="B77" i="37"/>
  <c r="F78" i="37"/>
  <c r="E78" i="37"/>
  <c r="C78" i="37"/>
  <c r="D78" i="37"/>
  <c r="Q49" i="37"/>
  <c r="P49" i="37"/>
  <c r="R49" i="37" l="1"/>
  <c r="O50" i="37" s="1"/>
  <c r="H78" i="37"/>
  <c r="I78" i="37"/>
  <c r="G78" i="37"/>
  <c r="B76" i="37"/>
  <c r="F77" i="37"/>
  <c r="C77" i="37"/>
  <c r="D77" i="37"/>
  <c r="E77" i="37"/>
  <c r="B82" i="37"/>
  <c r="F81" i="37"/>
  <c r="E81" i="37"/>
  <c r="C81" i="37"/>
  <c r="D81" i="37"/>
  <c r="J79" i="37"/>
  <c r="K79" i="37"/>
  <c r="L79" i="37" s="1"/>
  <c r="P50" i="37"/>
  <c r="Q50" i="37"/>
  <c r="H80" i="37"/>
  <c r="I80" i="37"/>
  <c r="G80" i="37"/>
  <c r="R50" i="37" l="1"/>
  <c r="O51" i="37" s="1"/>
  <c r="Q51" i="37" s="1"/>
  <c r="J80" i="37"/>
  <c r="K80" i="37"/>
  <c r="L80" i="37" s="1"/>
  <c r="P51" i="37"/>
  <c r="F76" i="37"/>
  <c r="B75" i="37"/>
  <c r="E76" i="37"/>
  <c r="D76" i="37"/>
  <c r="C76" i="37"/>
  <c r="I81" i="37"/>
  <c r="H81" i="37"/>
  <c r="G81" i="37"/>
  <c r="J78" i="37"/>
  <c r="K78" i="37"/>
  <c r="L78" i="37" s="1"/>
  <c r="I77" i="37"/>
  <c r="G77" i="37"/>
  <c r="H77" i="37"/>
  <c r="B83" i="37"/>
  <c r="F82" i="37"/>
  <c r="E82" i="37"/>
  <c r="C82" i="37"/>
  <c r="D82" i="37"/>
  <c r="R51" i="37" l="1"/>
  <c r="O52" i="37" s="1"/>
  <c r="F83" i="37"/>
  <c r="E83" i="37"/>
  <c r="B84" i="37"/>
  <c r="D83" i="37"/>
  <c r="C83" i="37"/>
  <c r="Q52" i="37"/>
  <c r="P52" i="37"/>
  <c r="G76" i="37"/>
  <c r="I76" i="37"/>
  <c r="H76" i="37"/>
  <c r="J77" i="37"/>
  <c r="K77" i="37"/>
  <c r="L77" i="37" s="1"/>
  <c r="H82" i="37"/>
  <c r="I82" i="37"/>
  <c r="G82" i="37"/>
  <c r="B74" i="37"/>
  <c r="E75" i="37"/>
  <c r="F75" i="37"/>
  <c r="D75" i="37"/>
  <c r="C75" i="37"/>
  <c r="J81" i="37"/>
  <c r="K81" i="37"/>
  <c r="L81" i="37" s="1"/>
  <c r="R52" i="37" l="1"/>
  <c r="O53" i="37" s="1"/>
  <c r="Q53" i="37" s="1"/>
  <c r="I75" i="37"/>
  <c r="G75" i="37"/>
  <c r="H75" i="37"/>
  <c r="J76" i="37"/>
  <c r="K76" i="37"/>
  <c r="L76" i="37" s="1"/>
  <c r="B85" i="37"/>
  <c r="F84" i="37"/>
  <c r="E84" i="37"/>
  <c r="D84" i="37"/>
  <c r="C84" i="37"/>
  <c r="I83" i="37"/>
  <c r="G83" i="37"/>
  <c r="H83" i="37"/>
  <c r="B73" i="37"/>
  <c r="E74" i="37"/>
  <c r="F74" i="37"/>
  <c r="C74" i="37"/>
  <c r="D74" i="37"/>
  <c r="J82" i="37"/>
  <c r="K82" i="37"/>
  <c r="L82" i="37" s="1"/>
  <c r="P53" i="37" l="1"/>
  <c r="R53" i="37" s="1"/>
  <c r="N46" i="37"/>
  <c r="B90" i="37" s="1"/>
  <c r="C90" i="37" s="1"/>
  <c r="K83" i="37"/>
  <c r="L83" i="37" s="1"/>
  <c r="J83" i="37"/>
  <c r="G74" i="37"/>
  <c r="H74" i="37"/>
  <c r="I74" i="37"/>
  <c r="I84" i="37"/>
  <c r="G84" i="37"/>
  <c r="H84" i="37"/>
  <c r="J75" i="37"/>
  <c r="K75" i="37"/>
  <c r="L75" i="37" s="1"/>
  <c r="F85" i="37"/>
  <c r="D85" i="37"/>
  <c r="E85" i="37"/>
  <c r="C85" i="37"/>
  <c r="E73" i="37"/>
  <c r="F73" i="37"/>
  <c r="D73" i="37"/>
  <c r="C73" i="37"/>
  <c r="K37" i="37" l="1"/>
  <c r="F90" i="37"/>
  <c r="K90" i="37" s="1"/>
  <c r="I37" i="37" s="1"/>
  <c r="E37" i="37" s="1"/>
  <c r="D90" i="37"/>
  <c r="E90" i="37"/>
  <c r="G90" i="37" s="1"/>
  <c r="J74" i="37"/>
  <c r="K74" i="37"/>
  <c r="L74" i="37" s="1"/>
  <c r="J84" i="37"/>
  <c r="K84" i="37"/>
  <c r="L84" i="37" s="1"/>
  <c r="I85" i="37"/>
  <c r="H85" i="37"/>
  <c r="G85" i="37"/>
  <c r="H90" i="37"/>
  <c r="H73" i="37"/>
  <c r="I73" i="37"/>
  <c r="G73" i="37"/>
  <c r="L90" i="37" l="1"/>
  <c r="I90" i="37"/>
  <c r="J90" i="37" s="1"/>
  <c r="J85" i="37"/>
  <c r="K85" i="37"/>
  <c r="L85" i="37" s="1"/>
  <c r="J73" i="37"/>
  <c r="K73" i="37"/>
  <c r="L73" i="37" s="1"/>
  <c r="E11" i="39"/>
  <c r="D11" i="39" s="1"/>
  <c r="F11" i="39"/>
  <c r="J43" i="37" l="1"/>
  <c r="H36" i="37" s="1"/>
  <c r="E46" i="39"/>
  <c r="D47" i="39"/>
  <c r="L10" i="39"/>
  <c r="D27" i="39"/>
  <c r="E26" i="39"/>
  <c r="R11" i="39"/>
  <c r="D66" i="39"/>
  <c r="E65" i="39"/>
  <c r="O63" i="37" l="1"/>
  <c r="O65" i="37" s="1"/>
  <c r="Q65" i="37" s="1"/>
  <c r="D58" i="39"/>
  <c r="D40" i="39"/>
  <c r="R27" i="39"/>
  <c r="E39" i="39"/>
  <c r="E57" i="39"/>
  <c r="G29" i="60"/>
  <c r="D27" i="30"/>
  <c r="F46" i="39"/>
  <c r="F26" i="39"/>
  <c r="P65" i="37" l="1"/>
  <c r="W65" i="37" s="1"/>
  <c r="F39" i="39"/>
  <c r="F57" i="39"/>
  <c r="H16" i="60"/>
  <c r="H27" i="30"/>
  <c r="S65" i="37" l="1"/>
  <c r="X65" i="37" s="1"/>
  <c r="V65" i="37"/>
  <c r="U65" i="37"/>
  <c r="R65" i="37"/>
  <c r="T65" i="37"/>
  <c r="Y65" i="37" s="1"/>
  <c r="F16" i="60"/>
  <c r="E16" i="60"/>
  <c r="C16" i="60"/>
  <c r="Z65" i="37" l="1"/>
  <c r="AA65" i="37"/>
  <c r="AB65" i="37" s="1"/>
  <c r="O66" i="37" s="1"/>
  <c r="P66" i="37" s="1"/>
  <c r="Q66" i="37" l="1"/>
  <c r="R66" i="37" s="1"/>
  <c r="W66" i="37" l="1"/>
  <c r="S66" i="37"/>
  <c r="X66" i="37" s="1"/>
  <c r="T66" i="37"/>
  <c r="Y66" i="37" s="1"/>
  <c r="U66" i="37"/>
  <c r="V66" i="37"/>
  <c r="AA66" i="37" l="1"/>
  <c r="Z66" i="37"/>
  <c r="AB66" i="37" l="1"/>
  <c r="O67" i="37" s="1"/>
  <c r="Q67" i="37" s="1"/>
  <c r="P67" i="37" l="1"/>
  <c r="T67" i="37" s="1"/>
  <c r="Y67" i="37" s="1"/>
  <c r="V67" i="37" l="1"/>
  <c r="W67" i="37"/>
  <c r="S67" i="37"/>
  <c r="X67" i="37" s="1"/>
  <c r="R67" i="37"/>
  <c r="AA67" i="37" s="1"/>
  <c r="U67" i="37"/>
  <c r="Z67" i="37" l="1"/>
  <c r="AB67" i="37" s="1"/>
  <c r="O68" i="37" s="1"/>
  <c r="P68" i="37" l="1"/>
  <c r="Q68" i="37"/>
  <c r="W68" i="37" l="1"/>
  <c r="U68" i="37"/>
  <c r="R68" i="37"/>
  <c r="S68" i="37"/>
  <c r="X68" i="37" s="1"/>
  <c r="T68" i="37"/>
  <c r="Y68" i="37" s="1"/>
  <c r="V68" i="37"/>
  <c r="Z68" i="37" l="1"/>
  <c r="AA68" i="37"/>
  <c r="AB68" i="37" s="1"/>
  <c r="O69" i="37" s="1"/>
  <c r="Q69" i="37" l="1"/>
  <c r="P69" i="37"/>
  <c r="T69" i="37" l="1"/>
  <c r="Y69" i="37" s="1"/>
  <c r="V69" i="37"/>
  <c r="R69" i="37"/>
  <c r="W69" i="37"/>
  <c r="U69" i="37"/>
  <c r="S69" i="37"/>
  <c r="X69" i="37" s="1"/>
  <c r="AA69" i="37" l="1"/>
  <c r="Z69" i="37"/>
  <c r="AB69" i="37" l="1"/>
  <c r="O70" i="37" s="1"/>
  <c r="P70" i="37" s="1"/>
  <c r="N63" i="37"/>
  <c r="B89" i="37" s="1"/>
  <c r="E89" i="37" s="1"/>
  <c r="Q70" i="37" l="1"/>
  <c r="S70" i="37"/>
  <c r="X70" i="37" s="1"/>
  <c r="F89" i="37"/>
  <c r="C89" i="37"/>
  <c r="H89" i="37" s="1"/>
  <c r="V70" i="37"/>
  <c r="D89" i="37"/>
  <c r="L89" i="37" s="1"/>
  <c r="K36" i="37"/>
  <c r="U70" i="37" l="1"/>
  <c r="W70" i="37"/>
  <c r="T70" i="37"/>
  <c r="Y70" i="37" s="1"/>
  <c r="R70" i="37"/>
  <c r="I89" i="37"/>
  <c r="G89" i="37"/>
  <c r="K89" i="37"/>
  <c r="Z70" i="37" l="1"/>
  <c r="AA70" i="37"/>
  <c r="AB70" i="37" s="1"/>
  <c r="J89" i="37"/>
  <c r="I36" i="37" s="1"/>
  <c r="E36" i="37" s="1"/>
  <c r="N89" i="37"/>
  <c r="J36" i="37" s="1"/>
  <c r="O89" i="37" l="1"/>
  <c r="E10" i="39"/>
  <c r="D10" i="39" s="1"/>
  <c r="F10" i="39"/>
  <c r="R10" i="39" l="1"/>
  <c r="D65" i="39"/>
  <c r="D26" i="39"/>
  <c r="D46" i="39"/>
  <c r="D49" i="39" l="1"/>
  <c r="F49" i="39"/>
  <c r="E49" i="39"/>
  <c r="D39" i="39"/>
  <c r="D57" i="39"/>
  <c r="R26" i="39"/>
  <c r="G25" i="60"/>
  <c r="D26" i="30"/>
  <c r="D42" i="39" l="1"/>
  <c r="E42" i="39"/>
  <c r="F42" i="39"/>
  <c r="H26" i="30"/>
  <c r="H15" i="60"/>
  <c r="D60" i="39"/>
  <c r="F60" i="39"/>
  <c r="E60" i="39"/>
  <c r="F16" i="39" l="1"/>
  <c r="F43" i="39"/>
  <c r="F17" i="39" s="1"/>
  <c r="E16" i="39"/>
  <c r="E43" i="39"/>
  <c r="E17" i="39" s="1"/>
  <c r="C15" i="60"/>
  <c r="E15" i="60"/>
  <c r="F15" i="60"/>
  <c r="I43" i="39"/>
  <c r="I17" i="39" s="1"/>
  <c r="D43" i="39"/>
  <c r="D17" i="39" s="1"/>
  <c r="R17" i="39" s="1"/>
  <c r="H14" i="30" s="1"/>
  <c r="D16" i="39"/>
  <c r="R16" i="39" s="1"/>
  <c r="H13" i="30" s="1"/>
</calcChain>
</file>

<file path=xl/comments1.xml><?xml version="1.0" encoding="utf-8"?>
<comments xmlns="http://schemas.openxmlformats.org/spreadsheetml/2006/main">
  <authors>
    <author>Masakazu Kawabata</author>
    <author>Ramsden</author>
    <author>RAMSDEN</author>
  </authors>
  <commentList>
    <comment ref="C4" authorId="0">
      <text>
        <r>
          <rPr>
            <sz val="8"/>
            <color indexed="81"/>
            <rFont val="Tahoma"/>
            <family val="2"/>
          </rPr>
          <t>Currently Selected Robot Type. Use the Payload Menu or Toolbar to select the required type</t>
        </r>
      </text>
    </comment>
    <comment ref="F4" authorId="1">
      <text>
        <r>
          <rPr>
            <sz val="8"/>
            <color indexed="81"/>
            <rFont val="Tahoma"/>
            <family val="2"/>
          </rPr>
          <t>eg: E32545</t>
        </r>
      </text>
    </comment>
    <comment ref="C6" authorId="1">
      <text>
        <r>
          <rPr>
            <sz val="8"/>
            <color indexed="81"/>
            <rFont val="Tahoma"/>
            <family val="2"/>
          </rPr>
          <t>Type of Payload Input: See Sheet "Instructions" for Details. Use the Payload Menu or Toolbar to select the required type</t>
        </r>
      </text>
    </comment>
    <comment ref="F6" authorId="1">
      <text>
        <r>
          <rPr>
            <sz val="8"/>
            <color indexed="81"/>
            <rFont val="Tahoma"/>
            <family val="2"/>
          </rPr>
          <t>eg: Stn 10.1</t>
        </r>
      </text>
    </comment>
    <comment ref="C7" authorId="1">
      <text>
        <r>
          <rPr>
            <sz val="8"/>
            <color indexed="81"/>
            <rFont val="Tahoma"/>
            <family val="2"/>
          </rPr>
          <t>Number to Save / Load the robot data on the Summary Sheet</t>
        </r>
      </text>
    </comment>
    <comment ref="F7" authorId="1">
      <text>
        <r>
          <rPr>
            <sz val="8"/>
            <color indexed="81"/>
            <rFont val="Tahoma"/>
            <family val="2"/>
          </rPr>
          <t>eg: A.N.Engineer</t>
        </r>
      </text>
    </comment>
    <comment ref="C8" authorId="1">
      <text>
        <r>
          <rPr>
            <sz val="8"/>
            <color indexed="81"/>
            <rFont val="Tahoma"/>
            <family val="2"/>
          </rPr>
          <t>Offset between J5 Axis and faceplate. See Sheet "Instructions" for Details</t>
        </r>
      </text>
    </comment>
    <comment ref="F8" authorId="1">
      <text>
        <r>
          <rPr>
            <sz val="8"/>
            <color indexed="81"/>
            <rFont val="Tahoma"/>
            <family val="2"/>
          </rPr>
          <t>eg: Gripper With Part</t>
        </r>
      </text>
    </comment>
    <comment ref="G10" authorId="2">
      <text>
        <r>
          <rPr>
            <sz val="8"/>
            <color indexed="81"/>
            <rFont val="Tahoma"/>
            <family val="2"/>
          </rPr>
          <t>Refer to the Sheet "Key to Results"
For Details</t>
        </r>
      </text>
    </comment>
    <comment ref="C20" authorId="2">
      <text>
        <r>
          <rPr>
            <sz val="8"/>
            <color indexed="81"/>
            <rFont val="Tahoma"/>
            <family val="2"/>
          </rPr>
          <t>Published Specification Data</t>
        </r>
      </text>
    </comment>
    <comment ref="D20" authorId="1">
      <text>
        <r>
          <rPr>
            <sz val="8"/>
            <color indexed="81"/>
            <rFont val="Tahoma"/>
            <family val="2"/>
          </rPr>
          <t>Calculated or Converted Axis Data</t>
        </r>
      </text>
    </comment>
  </commentList>
</comments>
</file>

<file path=xl/comments2.xml><?xml version="1.0" encoding="utf-8"?>
<comments xmlns="http://schemas.openxmlformats.org/spreadsheetml/2006/main">
  <authors>
    <author>MechaOption</author>
  </authors>
  <commentList>
    <comment ref="H36" authorId="0">
      <text>
        <r>
          <rPr>
            <sz val="9"/>
            <color indexed="81"/>
            <rFont val="ＭＳ Ｐゴシック"/>
            <family val="3"/>
            <charset val="128"/>
          </rPr>
          <t>数値解析がピークを外した時はこちらを採用</t>
        </r>
      </text>
    </comment>
    <comment ref="G37" authorId="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authors>
    <author>abc</author>
  </authors>
  <commentList>
    <comment ref="F1" authorId="0">
      <text>
        <r>
          <rPr>
            <b/>
            <sz val="8"/>
            <color indexed="81"/>
            <rFont val="Tahoma"/>
            <family val="2"/>
          </rPr>
          <t xml:space="preserve">1 : Hide sheet
0 : Unhide sheet
</t>
        </r>
        <r>
          <rPr>
            <sz val="8"/>
            <color indexed="81"/>
            <rFont val="Tahoma"/>
            <family val="2"/>
          </rPr>
          <t xml:space="preserve">
</t>
        </r>
      </text>
    </comment>
    <comment ref="H1" authorId="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authors>
    <author>Yuematsu</author>
  </authors>
  <commentList>
    <comment ref="N4" authorId="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<sst xmlns="http://schemas.openxmlformats.org/spreadsheetml/2006/main" count="6673" uniqueCount="4044">
  <si>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</si>
  <si>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</si>
  <si>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</si>
  <si>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</si>
  <si>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</si>
  <si>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</si>
  <si>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</si>
  <si>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</si>
  <si>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</si>
  <si>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</si>
  <si>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</si>
  <si>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</si>
  <si>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</si>
  <si>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</si>
  <si>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</si>
  <si>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</si>
  <si>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</si>
  <si>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</si>
  <si>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</si>
  <si>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</si>
  <si>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</si>
  <si>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</si>
  <si>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</si>
  <si>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</si>
  <si>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</si>
  <si>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</si>
  <si>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</si>
  <si>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</si>
  <si>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</si>
  <si>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</si>
  <si>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</si>
  <si>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</si>
  <si>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</si>
  <si>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</si>
  <si>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</si>
  <si>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</si>
  <si>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</si>
  <si>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</si>
  <si>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</si>
  <si>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</si>
  <si>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</si>
  <si>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</si>
  <si>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</si>
  <si>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</si>
  <si>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</si>
  <si>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</si>
  <si>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</si>
  <si>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</si>
  <si>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</si>
  <si>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</si>
  <si>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</si>
  <si>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</si>
  <si>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</si>
  <si>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</si>
  <si>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</si>
  <si>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</si>
  <si>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</si>
  <si>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</si>
  <si>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</si>
  <si>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</si>
  <si>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</si>
  <si>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</si>
  <si>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</si>
  <si>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</si>
  <si>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</si>
  <si>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</si>
  <si>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</si>
  <si>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</si>
  <si>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</si>
  <si>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</si>
  <si>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</si>
  <si>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</si>
  <si>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</si>
  <si>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</si>
  <si>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</si>
  <si>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</si>
  <si>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</si>
  <si>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</si>
  <si>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</si>
  <si>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</si>
  <si>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</si>
  <si>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</si>
  <si>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</si>
  <si>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</si>
  <si>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</si>
  <si>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</si>
  <si>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</si>
  <si>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</si>
  <si>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</si>
  <si>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</si>
  <si>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</si>
  <si>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</si>
  <si>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</si>
  <si>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</si>
  <si>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</si>
  <si>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</si>
  <si>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</si>
  <si>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</si>
  <si>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</si>
  <si>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</si>
  <si>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</si>
  <si>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</si>
  <si>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</si>
  <si>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</si>
  <si>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</si>
  <si>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</si>
  <si>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</si>
  <si>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</si>
  <si>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</si>
  <si>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</si>
  <si>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</si>
  <si>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</si>
  <si>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</si>
  <si>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</si>
  <si>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</si>
  <si>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</si>
  <si>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</si>
  <si>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</si>
  <si>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</si>
  <si>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</si>
  <si>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</si>
  <si>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</si>
  <si>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</si>
  <si>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</si>
  <si>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</si>
  <si>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</si>
  <si>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</si>
  <si>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</si>
  <si>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</si>
  <si>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</si>
  <si>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</si>
  <si>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</si>
  <si>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</si>
  <si>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</si>
  <si>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</si>
  <si>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</si>
  <si>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</si>
  <si>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</si>
  <si>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</si>
  <si>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</si>
  <si>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</si>
  <si>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</si>
  <si>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</si>
  <si>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</si>
  <si>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</si>
  <si>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</si>
  <si>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</si>
  <si>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</si>
  <si>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</si>
  <si>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</si>
  <si>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</si>
  <si>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</si>
  <si>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</si>
  <si>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</si>
  <si>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</si>
  <si>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</si>
  <si>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</si>
  <si>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</si>
  <si>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</si>
  <si>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</si>
  <si>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</si>
  <si>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</si>
  <si>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</si>
  <si>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</si>
  <si>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</si>
  <si>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</si>
  <si>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</si>
  <si>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</si>
  <si>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</si>
  <si>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</si>
  <si>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</si>
  <si>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</si>
  <si>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</si>
  <si>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</si>
  <si>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</si>
  <si>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</si>
  <si>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</si>
  <si>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</si>
  <si>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</si>
  <si>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</si>
  <si>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</si>
  <si>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</si>
  <si>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</si>
  <si>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</si>
  <si>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</si>
  <si>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</si>
  <si>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</si>
  <si>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</si>
  <si>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</si>
  <si>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</si>
  <si>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</si>
  <si>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</si>
  <si>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</si>
  <si>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</si>
  <si>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</si>
  <si>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</si>
  <si>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</si>
  <si>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</si>
  <si>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</si>
  <si>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</si>
  <si>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</si>
  <si>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</si>
  <si>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</si>
  <si>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</si>
  <si>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</si>
  <si>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</si>
  <si>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</si>
  <si>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</si>
  <si>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</si>
  <si>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</si>
  <si>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</si>
  <si>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</si>
  <si>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</si>
  <si>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</si>
  <si>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</si>
  <si>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</si>
  <si>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</si>
  <si>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</si>
  <si>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</si>
  <si>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</si>
  <si>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</si>
  <si>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</si>
  <si>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</si>
  <si>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</si>
  <si>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</si>
  <si>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</si>
  <si>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</si>
  <si>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</si>
  <si>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</si>
  <si>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</si>
  <si>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</si>
  <si>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</si>
  <si>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</si>
  <si>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</si>
  <si>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</si>
  <si>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</si>
  <si>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</si>
  <si>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</si>
  <si>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</si>
  <si>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</si>
  <si>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</si>
  <si>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</si>
  <si>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</si>
  <si>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</si>
  <si>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</si>
  <si>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</si>
  <si>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</si>
  <si>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</si>
  <si>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</si>
  <si>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</si>
  <si>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</si>
  <si>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</si>
  <si>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</si>
  <si>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</si>
  <si>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</si>
  <si>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</si>
  <si>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</si>
  <si>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</si>
  <si>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</si>
  <si>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</si>
  <si>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</si>
  <si>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</si>
  <si>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</si>
  <si>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</si>
  <si>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</si>
  <si>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</si>
  <si>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</si>
  <si>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</si>
  <si>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</si>
  <si>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</si>
  <si>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</si>
  <si>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</si>
  <si>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</si>
  <si>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</si>
  <si>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</si>
  <si>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</si>
  <si>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</si>
  <si>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</si>
  <si>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</si>
  <si>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</si>
  <si>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</si>
  <si>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</si>
  <si>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</si>
  <si>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</si>
  <si>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</si>
  <si>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</si>
  <si>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</si>
  <si>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</si>
  <si>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</si>
  <si>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</si>
  <si>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</si>
  <si>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</si>
  <si>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</si>
  <si>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</si>
  <si>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</si>
  <si>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</si>
  <si>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</si>
  <si>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</si>
  <si>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</si>
  <si>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</si>
  <si>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</si>
  <si>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</si>
  <si>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</si>
  <si>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</si>
  <si>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</si>
  <si>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</si>
  <si>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</si>
  <si>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</si>
  <si>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</si>
  <si>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</si>
  <si>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</si>
  <si>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</si>
  <si>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</si>
  <si>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</si>
  <si>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</si>
  <si>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</si>
  <si>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</si>
  <si>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</si>
  <si>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</si>
  <si>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</si>
  <si>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</si>
  <si>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</si>
  <si>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</si>
  <si>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</si>
  <si>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</si>
  <si>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</si>
  <si>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</si>
  <si>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</si>
  <si>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</si>
  <si>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</si>
  <si>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</si>
  <si>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</si>
  <si>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</si>
  <si>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</si>
  <si>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</si>
  <si>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</si>
  <si>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</si>
  <si>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</si>
  <si>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</si>
  <si>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</si>
  <si>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</si>
  <si>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</si>
  <si>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</si>
  <si>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</si>
  <si>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</si>
  <si>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</si>
  <si>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</si>
  <si>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</si>
  <si>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</si>
  <si>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</si>
  <si>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</si>
  <si>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</si>
  <si>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</si>
  <si>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</si>
  <si>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</si>
  <si>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</si>
  <si>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</si>
  <si>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</si>
  <si>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</si>
  <si>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</si>
  <si>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</si>
  <si>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</si>
  <si>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</si>
  <si>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</si>
  <si>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</si>
  <si>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</si>
  <si>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</si>
  <si>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</si>
  <si>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</si>
  <si>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</si>
  <si>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</si>
  <si>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</si>
  <si>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</si>
  <si>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</si>
  <si>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</si>
  <si>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</si>
  <si>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</si>
  <si>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</si>
  <si>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</si>
  <si>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</si>
  <si>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</si>
  <si>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</si>
  <si>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</si>
  <si>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</si>
  <si>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</si>
  <si>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</si>
  <si>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</si>
  <si>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</si>
  <si>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</si>
  <si>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</si>
  <si>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</si>
  <si>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</si>
  <si>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</si>
  <si>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</si>
  <si>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</si>
  <si>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</si>
  <si>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</si>
  <si>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</si>
  <si>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</si>
  <si>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</si>
  <si>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</si>
  <si>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</si>
  <si>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</si>
  <si>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</si>
  <si>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</si>
  <si>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</si>
  <si>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</si>
  <si>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</si>
  <si>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</si>
  <si>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</si>
  <si>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</si>
  <si>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</si>
  <si>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</si>
  <si>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</si>
  <si>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</si>
  <si>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</si>
  <si>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</si>
  <si>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</si>
  <si>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</si>
  <si>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</si>
  <si>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</si>
  <si>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</si>
  <si>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</si>
  <si>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</si>
  <si>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</si>
  <si>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</si>
  <si>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</si>
  <si>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</si>
  <si>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</si>
  <si>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</si>
  <si>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</si>
  <si>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</si>
  <si>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</si>
  <si>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</si>
  <si>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</si>
  <si>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</si>
  <si>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</si>
  <si>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</si>
  <si>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</si>
  <si>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</si>
  <si>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</si>
  <si>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</si>
  <si>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</si>
  <si>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</si>
  <si>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</si>
  <si>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</si>
  <si>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</si>
  <si>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</si>
  <si>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</si>
  <si>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</si>
  <si>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</si>
  <si>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</si>
  <si>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</si>
  <si>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</si>
  <si>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</si>
  <si>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</si>
  <si>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</si>
  <si>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</si>
  <si>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</si>
  <si>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</si>
  <si>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</si>
  <si>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</si>
  <si>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</si>
  <si>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</si>
  <si>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</si>
  <si>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</si>
  <si>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</si>
  <si>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</si>
  <si>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</si>
  <si>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</si>
  <si>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</si>
  <si>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</si>
  <si>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</si>
  <si>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</si>
  <si>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</si>
  <si>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</si>
  <si>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</si>
  <si>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</si>
  <si>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</si>
  <si>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</si>
  <si>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</si>
  <si>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</si>
  <si>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</si>
  <si>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</si>
  <si>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</si>
  <si>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</si>
  <si>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</si>
  <si>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</si>
  <si>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</si>
  <si>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</si>
  <si>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</si>
  <si>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</si>
  <si>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</si>
  <si>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</si>
  <si>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</si>
  <si>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</si>
  <si>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</si>
  <si>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</si>
  <si>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</si>
  <si>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</si>
  <si>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</si>
  <si>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</si>
  <si>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</si>
  <si>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</si>
  <si>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</si>
  <si>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</si>
  <si>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</si>
  <si>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</si>
  <si>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</si>
  <si>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</si>
  <si>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</si>
  <si>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</si>
  <si>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</si>
  <si>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</si>
  <si>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</si>
  <si>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</si>
  <si>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</si>
  <si>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</si>
  <si>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</si>
  <si>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</si>
  <si>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</si>
  <si>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</si>
  <si>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</si>
  <si>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</si>
  <si>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</si>
  <si>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</si>
  <si>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</si>
  <si>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</si>
  <si>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</si>
  <si>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</si>
  <si>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</si>
  <si>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</si>
  <si>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</si>
  <si>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</si>
  <si>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</si>
  <si>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</si>
  <si>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</si>
  <si>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</si>
  <si>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</si>
  <si>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</si>
  <si>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</si>
  <si>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</si>
  <si>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</si>
  <si>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</si>
  <si>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</si>
  <si>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</si>
  <si>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</si>
  <si>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</si>
  <si>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</si>
  <si>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</si>
  <si>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</si>
  <si>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</si>
  <si>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</si>
  <si>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</si>
  <si>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</si>
  <si>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</si>
  <si>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</si>
  <si>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</si>
  <si>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</si>
  <si>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</si>
  <si>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</si>
  <si>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</si>
  <si>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</si>
  <si>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</si>
  <si>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</si>
  <si>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</si>
  <si>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</si>
  <si>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</si>
  <si>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</si>
  <si>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</si>
  <si>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</si>
  <si>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</si>
  <si>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</si>
  <si>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</si>
  <si>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</si>
  <si>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</si>
  <si>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</si>
  <si>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</si>
  <si>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</si>
  <si>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</si>
  <si>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</si>
  <si>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</si>
  <si>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</si>
  <si>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</si>
  <si>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</si>
  <si>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</si>
  <si>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</si>
  <si>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</si>
  <si>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</si>
  <si>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</si>
  <si>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</si>
  <si>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</si>
  <si>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</si>
  <si>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</si>
  <si>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</si>
  <si>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</si>
  <si>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</si>
  <si>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</si>
  <si>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</si>
  <si>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</si>
  <si>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</si>
  <si>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</si>
  <si>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</si>
  <si>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</si>
  <si>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</si>
  <si>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</si>
  <si>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</si>
  <si>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</si>
  <si>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</si>
  <si>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</si>
  <si>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</si>
  <si>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</si>
  <si>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</si>
  <si>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</si>
  <si>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</si>
  <si>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</si>
  <si>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</si>
  <si>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</si>
  <si>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</si>
  <si>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</si>
  <si>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</si>
  <si>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</si>
  <si>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</si>
  <si>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</si>
  <si>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</si>
  <si>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</si>
  <si>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</si>
  <si>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</si>
  <si>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</si>
  <si>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</si>
  <si>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</si>
  <si>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</si>
  <si>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</si>
  <si>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</si>
  <si>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</si>
  <si>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</si>
  <si>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</si>
  <si>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</si>
  <si>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</si>
  <si>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</si>
  <si>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</si>
  <si>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</si>
  <si>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</si>
  <si>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</si>
  <si>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</si>
  <si>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</si>
  <si>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</si>
  <si>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</si>
  <si>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</si>
  <si>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</si>
  <si>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</si>
  <si>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</si>
  <si>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</si>
  <si>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</si>
  <si>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</si>
  <si>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</si>
  <si>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</si>
  <si>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</si>
  <si>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</si>
  <si>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</si>
  <si>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</si>
  <si>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</si>
  <si>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</si>
  <si>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</si>
  <si>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</si>
  <si>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</si>
  <si>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</si>
  <si>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</si>
  <si>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</si>
  <si>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</si>
  <si>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</si>
  <si>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</si>
  <si>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</si>
  <si>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</si>
  <si>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</si>
  <si>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</si>
  <si>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</si>
  <si>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</si>
  <si>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</si>
  <si>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</si>
  <si>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</si>
  <si>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</si>
  <si>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</si>
  <si>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</si>
  <si>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</si>
  <si>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</si>
  <si>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</si>
  <si>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</si>
  <si>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</si>
  <si>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</si>
  <si>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</si>
  <si>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</si>
  <si>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</si>
  <si>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</si>
  <si>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</si>
  <si>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</si>
  <si>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</si>
  <si>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</si>
  <si>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</si>
  <si>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</si>
  <si>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</si>
  <si>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</si>
  <si>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</si>
  <si>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</si>
  <si>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</si>
  <si>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</si>
  <si>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</si>
  <si>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</si>
  <si>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</si>
  <si>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</si>
  <si>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</si>
  <si>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</si>
  <si>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</si>
  <si>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</si>
  <si>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</si>
  <si>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</si>
  <si>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</si>
  <si>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</si>
  <si>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</si>
  <si>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</si>
  <si>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</si>
  <si>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</si>
  <si>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</si>
  <si>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</si>
  <si>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</si>
  <si>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</si>
  <si>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</si>
  <si>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</si>
  <si>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</si>
  <si>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</si>
  <si>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</si>
  <si>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</si>
  <si>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</si>
  <si>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</si>
  <si>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</si>
  <si>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</si>
  <si>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</si>
  <si>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</si>
  <si>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</si>
  <si>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</si>
  <si>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</si>
  <si>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</si>
  <si>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</si>
  <si>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</si>
  <si>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</si>
  <si>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</si>
  <si>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</si>
  <si>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</si>
  <si>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</si>
  <si>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</si>
  <si>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</si>
  <si>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</si>
  <si>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</si>
  <si>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</si>
  <si>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</si>
  <si>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</si>
  <si>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</si>
  <si>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</si>
  <si>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</si>
  <si>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</si>
  <si>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</si>
  <si>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</si>
  <si>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</si>
  <si>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</si>
  <si>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</si>
  <si>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</si>
  <si>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</si>
  <si>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</si>
  <si>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</si>
  <si>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</si>
  <si>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</si>
  <si>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</si>
  <si>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</si>
  <si>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</si>
  <si>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</si>
  <si>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</si>
  <si>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</si>
  <si>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</si>
  <si>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</si>
  <si>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</si>
  <si>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</si>
  <si>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</si>
  <si>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</si>
  <si>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</si>
  <si>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</si>
  <si>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</si>
  <si>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</si>
  <si>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</si>
  <si>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</si>
  <si>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</si>
  <si>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</si>
  <si>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</si>
  <si>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</si>
  <si>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</si>
  <si>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</si>
  <si>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</si>
  <si>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</si>
  <si>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</si>
  <si>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</si>
  <si>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</si>
  <si>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</si>
  <si>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</si>
  <si>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</si>
  <si>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</si>
  <si>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</si>
  <si>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</si>
  <si>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</si>
  <si>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</si>
  <si>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</si>
  <si>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</si>
  <si>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</si>
  <si>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</si>
  <si>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</si>
  <si>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</si>
  <si>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</si>
  <si>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</si>
  <si>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</si>
  <si>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</si>
  <si>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</si>
  <si>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</si>
  <si>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</si>
  <si>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</si>
  <si>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</si>
  <si>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</si>
  <si>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</si>
  <si>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</si>
  <si>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</si>
  <si>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</si>
  <si>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</si>
  <si>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</si>
  <si>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</si>
  <si>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</si>
  <si>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</si>
  <si>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</si>
  <si>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</si>
  <si>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</si>
  <si>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</si>
  <si>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</si>
  <si>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</si>
  <si>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</si>
  <si>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</si>
  <si>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</si>
  <si>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</si>
  <si>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</si>
  <si>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</si>
  <si>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</si>
  <si>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</si>
  <si>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</si>
  <si>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</si>
  <si>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</si>
  <si>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</si>
  <si>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</si>
  <si>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</si>
  <si>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</si>
  <si>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</si>
  <si>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</si>
  <si>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</si>
  <si>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</si>
  <si>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</si>
  <si>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</si>
  <si>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</si>
  <si>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</si>
  <si>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</si>
  <si>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</si>
  <si>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</si>
  <si>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</si>
  <si>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</si>
  <si>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</si>
  <si>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</si>
  <si>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</si>
  <si>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</si>
  <si>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</si>
  <si>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</si>
  <si>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</si>
  <si>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</si>
  <si>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</si>
  <si>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</si>
  <si>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</si>
  <si>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</si>
  <si>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</si>
  <si>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</si>
  <si>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</si>
  <si>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</si>
  <si>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</si>
  <si>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</si>
  <si>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</si>
  <si>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</si>
  <si>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</si>
  <si>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</si>
  <si>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</si>
  <si>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</si>
  <si>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</si>
  <si>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</si>
  <si>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</si>
  <si>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</si>
  <si>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</si>
  <si>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</si>
  <si>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</si>
  <si>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</si>
  <si>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</si>
  <si>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</si>
  <si>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</si>
  <si>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</si>
  <si>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</si>
  <si>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</si>
  <si>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</si>
  <si>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</si>
  <si>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</si>
  <si>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</si>
  <si>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</si>
  <si>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</si>
  <si>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</si>
  <si>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</si>
  <si>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</si>
  <si>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</si>
  <si>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</si>
  <si>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</si>
  <si>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</si>
  <si>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</si>
  <si>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</si>
  <si>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</si>
  <si>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</si>
  <si>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</si>
  <si>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</si>
  <si>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</si>
  <si>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</si>
  <si>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</si>
  <si>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</si>
  <si>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</si>
  <si>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</si>
  <si>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</si>
  <si>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</si>
  <si>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</si>
  <si>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</si>
  <si>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</si>
  <si>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</si>
  <si>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</si>
  <si>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</si>
  <si>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</si>
  <si>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</si>
  <si>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</si>
  <si>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</si>
  <si>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</si>
  <si>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</si>
  <si>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</si>
  <si>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</si>
  <si>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</si>
  <si>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</si>
  <si>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</si>
  <si>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</si>
  <si>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</si>
  <si>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</si>
  <si>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</si>
  <si>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</si>
  <si>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</si>
  <si>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</si>
  <si>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</si>
  <si>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</si>
  <si>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</si>
  <si>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</si>
  <si>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</si>
  <si>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</si>
  <si>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</si>
  <si>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</si>
  <si>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</si>
  <si>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</si>
  <si>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</si>
  <si>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</si>
  <si>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</si>
  <si>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</si>
  <si>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</si>
  <si>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</si>
  <si>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</si>
  <si>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</si>
  <si>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</si>
  <si>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</si>
  <si>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</si>
  <si>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</si>
  <si>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</si>
  <si>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</si>
  <si>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</si>
  <si>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</si>
  <si>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</si>
  <si>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</si>
  <si>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</si>
  <si>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</si>
  <si>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</si>
  <si>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</si>
  <si>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</si>
  <si>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</si>
  <si>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</si>
  <si>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</si>
  <si>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</si>
  <si>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</si>
  <si>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</si>
  <si>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</si>
  <si>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</si>
  <si>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</si>
  <si>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</si>
  <si>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</si>
  <si>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</si>
  <si>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</si>
  <si>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</si>
  <si>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</si>
  <si>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</si>
  <si>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</si>
  <si>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</si>
  <si>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</si>
  <si>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</si>
  <si>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</si>
  <si>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</si>
  <si>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</si>
  <si>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</si>
  <si>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</si>
  <si>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</si>
  <si>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</si>
  <si>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</si>
  <si>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</si>
  <si>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</si>
  <si>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</si>
  <si>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</si>
  <si>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</si>
  <si>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</si>
  <si>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</si>
  <si>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</si>
  <si>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</si>
  <si>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</si>
  <si>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</si>
  <si>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</si>
  <si>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</si>
  <si>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</si>
  <si>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</si>
  <si>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</si>
  <si>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</si>
  <si>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</si>
  <si>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</si>
  <si>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</si>
  <si>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</si>
  <si>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</si>
  <si>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</si>
  <si>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</si>
  <si>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</si>
  <si>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</si>
  <si>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</si>
  <si>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</si>
  <si>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</si>
  <si>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</si>
  <si>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</si>
  <si>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</si>
  <si>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</si>
  <si>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</si>
  <si>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</si>
  <si>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</si>
  <si>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</si>
  <si>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</si>
  <si>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</si>
  <si>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</si>
  <si>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</si>
  <si>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</si>
  <si>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</si>
  <si>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</si>
  <si>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</si>
  <si>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</si>
  <si>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</si>
  <si>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</si>
  <si>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</si>
  <si>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</si>
  <si>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</si>
  <si>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</si>
  <si>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</si>
  <si>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</si>
  <si>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</si>
  <si>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</si>
  <si>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</si>
  <si>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</si>
  <si>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</si>
  <si>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</si>
  <si>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</si>
  <si>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</si>
  <si>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</si>
  <si>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</si>
  <si>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</si>
  <si>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</si>
  <si>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</si>
  <si>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</si>
  <si>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</si>
  <si>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</si>
  <si>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</si>
  <si>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</si>
  <si>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</si>
  <si>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</si>
  <si>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</si>
  <si>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</si>
  <si>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</si>
  <si>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</si>
  <si>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</si>
  <si>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</si>
  <si>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</si>
  <si>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</si>
  <si>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</si>
  <si>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</si>
  <si>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</si>
  <si>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</si>
  <si>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</si>
  <si>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</si>
  <si>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</si>
  <si>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</si>
  <si>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</si>
  <si>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</si>
  <si>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</si>
  <si>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</si>
  <si>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</si>
  <si>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</si>
  <si>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</si>
  <si>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</si>
  <si>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</si>
  <si>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</si>
  <si>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</si>
  <si>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</si>
  <si>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</si>
  <si>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</si>
  <si>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</si>
  <si>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</si>
  <si>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</si>
  <si>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</si>
  <si>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</si>
  <si>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</si>
  <si>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</si>
  <si>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</si>
  <si>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</si>
  <si>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</si>
  <si>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</si>
  <si>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</si>
  <si>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</si>
  <si>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</si>
  <si>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</si>
  <si>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</si>
  <si>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</si>
  <si>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</si>
  <si>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</si>
  <si>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</si>
  <si>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</si>
  <si>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</si>
  <si>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</si>
  <si>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</si>
  <si>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</si>
  <si>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</si>
  <si>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</si>
  <si>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</si>
  <si>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</si>
  <si>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</si>
  <si>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</si>
  <si>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</si>
  <si>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</si>
  <si>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</si>
  <si>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</si>
  <si>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</si>
  <si>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</si>
  <si>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</si>
  <si>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</si>
  <si>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</si>
  <si>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</si>
  <si>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</si>
  <si>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</si>
  <si>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</si>
  <si>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</si>
  <si>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</si>
  <si>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</si>
  <si>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</si>
  <si>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</si>
  <si>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</si>
  <si>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</si>
  <si>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</si>
  <si>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</si>
  <si>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</si>
  <si>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</si>
  <si>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</si>
  <si>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</si>
  <si>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</si>
  <si>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</si>
  <si>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</si>
  <si>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</si>
  <si>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</si>
  <si>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</si>
  <si>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</si>
  <si>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</si>
  <si>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</si>
  <si>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</si>
  <si>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</si>
  <si>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</si>
  <si>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</si>
  <si>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</si>
  <si>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</si>
  <si>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</si>
  <si>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</si>
  <si>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</si>
  <si>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</si>
  <si>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</si>
  <si>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</si>
  <si>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</si>
  <si>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</si>
  <si>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</si>
  <si>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</si>
  <si>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</si>
  <si>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</si>
  <si>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</si>
  <si>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</si>
  <si>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</si>
  <si>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</si>
  <si>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</si>
  <si>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</si>
  <si>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</si>
  <si>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</si>
  <si>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</si>
  <si>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</si>
  <si>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</si>
  <si>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</si>
  <si>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</si>
  <si>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</si>
  <si>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</si>
  <si>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</si>
  <si>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</si>
  <si>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</si>
  <si>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</si>
  <si>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</si>
  <si>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</si>
  <si>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</si>
  <si>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</si>
  <si>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</si>
  <si>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</si>
  <si>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</si>
  <si>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</si>
  <si>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</si>
  <si>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</si>
  <si>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</si>
  <si>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</si>
  <si>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</si>
  <si>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</si>
  <si>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</si>
  <si>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</si>
  <si>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</si>
  <si>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</si>
  <si>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</si>
  <si>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</si>
  <si>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</si>
  <si>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</si>
  <si>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</si>
  <si>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</si>
  <si>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</si>
  <si>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</si>
  <si>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</si>
  <si>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</si>
  <si>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</si>
  <si>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</si>
  <si>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</si>
  <si>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</si>
  <si>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</si>
  <si>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</si>
  <si>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</si>
  <si>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</si>
  <si>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</si>
  <si>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</si>
  <si>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</si>
  <si>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</si>
  <si>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</si>
  <si>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</si>
  <si>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</si>
  <si>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</si>
  <si>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</si>
  <si>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</si>
  <si>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</si>
  <si>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</si>
  <si>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</si>
  <si>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</si>
  <si>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</si>
  <si>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</si>
  <si>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</si>
  <si>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</si>
  <si>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</si>
  <si>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</si>
  <si>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</si>
  <si>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</si>
  <si>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</si>
  <si>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</si>
  <si>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</si>
  <si>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</si>
  <si>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</si>
  <si>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</si>
  <si>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</si>
  <si>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</si>
  <si>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</si>
  <si>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</si>
  <si>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</si>
  <si>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</si>
  <si>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</si>
  <si>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</si>
  <si>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</si>
  <si>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</si>
  <si>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</si>
  <si>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</si>
  <si>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</si>
  <si>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</si>
  <si>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</si>
  <si>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</si>
  <si>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</si>
  <si>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</si>
  <si>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</si>
  <si>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</si>
  <si>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</si>
  <si>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</si>
  <si>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</si>
  <si>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</si>
  <si>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</si>
  <si>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</si>
  <si>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</si>
  <si>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</si>
  <si>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</si>
  <si>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</si>
  <si>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</si>
  <si>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</si>
  <si>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</si>
  <si>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</si>
  <si>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</si>
  <si>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</si>
  <si>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</si>
  <si>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</si>
  <si>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</si>
  <si>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</si>
  <si>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</si>
  <si>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</si>
  <si>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</si>
  <si>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</si>
  <si>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</si>
  <si>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</si>
  <si>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</si>
  <si>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</si>
  <si>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</si>
  <si>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</si>
  <si>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</si>
  <si>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</si>
  <si>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</si>
  <si>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</si>
  <si>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</si>
  <si>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</si>
  <si>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</si>
  <si>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</si>
  <si>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</si>
  <si>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</si>
  <si>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</si>
  <si>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</si>
  <si>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</si>
  <si>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</si>
  <si>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</si>
  <si>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</si>
  <si>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</si>
  <si>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</si>
  <si>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</si>
  <si>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</si>
  <si>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</si>
  <si>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</si>
  <si>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</si>
  <si>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</si>
  <si>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</si>
  <si>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</si>
  <si>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</si>
  <si>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</si>
  <si>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</si>
  <si>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</si>
  <si>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</si>
  <si>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</si>
  <si>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</si>
  <si>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</si>
  <si>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</si>
  <si>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</si>
  <si>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</si>
  <si>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</si>
  <si>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</si>
  <si>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</si>
  <si>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</si>
  <si>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</si>
  <si>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</si>
  <si>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</si>
  <si>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</si>
  <si>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</si>
  <si>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</si>
  <si>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</si>
  <si>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</si>
  <si>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</si>
  <si>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</si>
  <si>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</si>
  <si>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</si>
  <si>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</si>
  <si>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</si>
  <si>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</si>
  <si>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</si>
  <si>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</si>
  <si>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</si>
  <si>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</si>
  <si>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</si>
  <si>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</si>
  <si>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</si>
  <si>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</si>
  <si>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</si>
  <si>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</si>
  <si>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</si>
  <si>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</si>
  <si>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</si>
  <si>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</si>
  <si>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</si>
  <si>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</si>
  <si>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</si>
  <si>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</si>
  <si>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</si>
  <si>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</si>
  <si>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</si>
  <si>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</si>
  <si>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</si>
  <si>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</si>
  <si>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</si>
  <si>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</si>
  <si>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</si>
  <si>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</si>
  <si>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</si>
  <si>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</si>
  <si>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</si>
  <si>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</si>
  <si>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</si>
  <si>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</si>
  <si>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</si>
  <si>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</si>
  <si>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</si>
  <si>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</si>
  <si>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</si>
  <si>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</si>
  <si>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</si>
  <si>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</si>
  <si>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</si>
  <si>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</si>
  <si>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</si>
  <si>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</si>
  <si>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</si>
  <si>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</si>
  <si>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</si>
  <si>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</si>
  <si>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</si>
  <si>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</si>
  <si>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</si>
  <si>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</si>
  <si>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</si>
  <si>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</si>
  <si>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</si>
  <si>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</si>
  <si>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</si>
  <si>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</si>
  <si>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</si>
  <si>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</si>
  <si>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</si>
  <si>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</si>
  <si>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</si>
  <si>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</si>
  <si>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</si>
  <si>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</si>
  <si>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</si>
  <si>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</si>
  <si>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</si>
  <si>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</si>
  <si>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</si>
  <si>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</si>
  <si>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</si>
  <si>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</si>
  <si>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</si>
  <si>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</si>
  <si>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</si>
  <si>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</si>
  <si>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</si>
  <si>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</si>
  <si>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</si>
  <si>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</si>
  <si>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</si>
  <si>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</si>
  <si>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</si>
  <si>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</si>
  <si>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</si>
  <si>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</si>
  <si>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</si>
  <si>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</si>
  <si>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</si>
  <si>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</si>
  <si>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</si>
  <si>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</si>
  <si>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</si>
  <si>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</si>
  <si>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</si>
  <si>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</si>
  <si>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</si>
  <si>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</si>
  <si>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</si>
  <si>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</si>
  <si>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</si>
  <si>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</si>
  <si>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</si>
  <si>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</si>
  <si>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</si>
  <si>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</si>
  <si>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</si>
  <si>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</si>
  <si>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</si>
  <si>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</si>
  <si>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</si>
  <si>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</si>
  <si>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</si>
  <si>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</si>
  <si>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</si>
  <si>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</si>
  <si>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</si>
  <si>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</si>
  <si>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</si>
  <si>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</si>
  <si>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</si>
  <si>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</si>
  <si>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</si>
  <si>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</si>
  <si>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</si>
  <si>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</si>
  <si>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</si>
  <si>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</si>
  <si>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</si>
  <si>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</si>
  <si>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</si>
  <si>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</si>
  <si>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</si>
  <si>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</si>
  <si>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</si>
  <si>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</si>
  <si>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</si>
  <si>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</si>
  <si>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</si>
  <si>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</si>
  <si>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</si>
  <si>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</si>
  <si>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</si>
  <si>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</si>
  <si>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</si>
  <si>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</si>
  <si>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</si>
  <si>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</si>
  <si>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</si>
  <si>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</si>
  <si>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</si>
  <si>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</si>
  <si>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</si>
  <si>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</si>
  <si>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</si>
  <si>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</si>
  <si>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</si>
  <si>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</si>
  <si>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</si>
  <si>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</si>
  <si>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</si>
  <si>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</si>
  <si>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</si>
  <si>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</si>
  <si>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</si>
  <si>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</si>
  <si>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</si>
  <si>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</si>
  <si>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</si>
  <si>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</si>
  <si>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</si>
  <si>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</si>
  <si>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</si>
  <si>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</si>
  <si>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</si>
  <si>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</si>
  <si>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</si>
  <si>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</si>
  <si>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</si>
  <si>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</si>
  <si>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</si>
  <si>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</si>
  <si>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</si>
  <si>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</si>
  <si>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</si>
  <si>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</si>
  <si>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</si>
  <si>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</si>
  <si>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</si>
  <si>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</si>
  <si>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</si>
  <si>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</si>
  <si>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</si>
  <si>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</si>
  <si>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</si>
  <si>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</si>
  <si>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</si>
  <si>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</si>
  <si>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</si>
  <si>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</si>
  <si>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</si>
  <si>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</si>
  <si>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</si>
  <si>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</si>
  <si>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</si>
  <si>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</si>
  <si>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</si>
  <si>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</si>
  <si>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</si>
  <si>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</si>
  <si>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</si>
  <si>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</si>
  <si>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</si>
  <si>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</si>
  <si>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</si>
  <si>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</si>
  <si>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</si>
  <si>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</si>
  <si>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</si>
  <si>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</si>
  <si>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</si>
  <si>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</si>
  <si>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</si>
  <si>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</si>
  <si>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</si>
  <si>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</si>
  <si>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</si>
  <si>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</si>
  <si>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</si>
  <si>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</si>
  <si>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</si>
  <si>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</si>
  <si>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</si>
  <si>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</si>
  <si>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</si>
  <si>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</si>
  <si>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</si>
  <si>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</si>
  <si>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</si>
  <si>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</si>
  <si>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</si>
  <si>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</si>
  <si>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</si>
  <si>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</si>
  <si>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</si>
  <si>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</si>
  <si>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</si>
  <si>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</si>
  <si>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</si>
  <si>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</si>
  <si>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</si>
  <si>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</si>
  <si>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</si>
  <si>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</si>
  <si>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</si>
  <si>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</si>
  <si>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</si>
  <si>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</si>
  <si>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</si>
  <si>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</si>
  <si>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</si>
  <si>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</si>
  <si>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</si>
  <si>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</si>
  <si>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</si>
  <si>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</si>
  <si>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</si>
  <si>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</si>
  <si>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</si>
  <si>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</si>
  <si>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</si>
  <si>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</si>
  <si>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</si>
  <si>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</si>
  <si>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</si>
  <si>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</si>
  <si>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</si>
  <si>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</si>
  <si>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</si>
  <si>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</si>
  <si>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</si>
  <si>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</si>
  <si>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</si>
  <si>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</si>
  <si>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</si>
  <si>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</si>
  <si>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</si>
  <si>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</si>
  <si>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</si>
  <si>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</si>
  <si>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</si>
  <si>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</si>
  <si>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</si>
  <si>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</si>
  <si>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</si>
  <si>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</si>
  <si>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</si>
  <si>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</si>
  <si>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</si>
  <si>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</si>
  <si>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</si>
  <si>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</si>
  <si>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</si>
  <si>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</si>
  <si>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</si>
  <si>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</si>
  <si>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</si>
  <si>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</si>
  <si>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</si>
  <si>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</si>
  <si>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</si>
  <si>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</si>
  <si>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</si>
  <si>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</si>
  <si>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</si>
  <si>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</si>
  <si>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</si>
  <si>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</si>
  <si>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</si>
  <si>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</si>
  <si>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</si>
  <si>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</si>
  <si>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</si>
  <si>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</si>
  <si>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</si>
  <si>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</si>
  <si>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</si>
  <si>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</si>
  <si>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</si>
  <si>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</si>
  <si>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</si>
  <si>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</si>
  <si>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</si>
  <si>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</si>
  <si>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</si>
  <si>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</si>
  <si>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</si>
  <si>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</si>
  <si>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</si>
  <si>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</si>
  <si>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</si>
  <si>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</si>
  <si>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</si>
  <si>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</si>
  <si>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</si>
  <si>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</si>
  <si>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</si>
  <si>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</si>
  <si>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</si>
  <si>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</si>
  <si>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</si>
  <si>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</si>
  <si>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</si>
  <si>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</si>
  <si>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</si>
  <si>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</si>
  <si>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</si>
  <si>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</si>
  <si>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</si>
  <si>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</si>
  <si>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</si>
  <si>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</si>
  <si>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</si>
  <si>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</si>
  <si>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</si>
  <si>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</si>
  <si>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</si>
  <si>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</si>
  <si>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</si>
  <si>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</si>
  <si>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</si>
  <si>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</si>
  <si>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</si>
  <si>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</si>
  <si>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</si>
  <si>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</si>
  <si>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</si>
  <si>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</si>
  <si>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</si>
  <si>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</si>
  <si>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</si>
  <si>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</si>
  <si>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</si>
  <si>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</si>
  <si>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</si>
  <si>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</si>
  <si>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</si>
  <si>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</si>
  <si>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</si>
  <si>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</si>
  <si>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</si>
  <si>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</si>
  <si>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</si>
  <si>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</si>
  <si>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</si>
  <si>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</si>
  <si>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</si>
  <si>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</si>
  <si>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</si>
  <si>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</si>
  <si>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</si>
  <si>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</si>
  <si>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</si>
  <si>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</si>
  <si>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</si>
  <si>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</si>
  <si>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</si>
  <si>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</si>
  <si>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</si>
  <si>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</si>
  <si>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</si>
  <si>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</si>
  <si>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</si>
  <si>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</si>
  <si>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</si>
  <si>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</si>
  <si>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</si>
  <si>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</si>
  <si>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</si>
  <si>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</si>
  <si>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</si>
  <si>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</si>
  <si>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</si>
  <si>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</si>
  <si>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</si>
  <si>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</si>
  <si>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</si>
  <si>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</si>
  <si>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</si>
  <si>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</si>
  <si>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</si>
  <si>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</si>
  <si>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</si>
  <si>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</si>
  <si>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</si>
  <si>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</si>
  <si>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</si>
  <si>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</si>
  <si>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</si>
  <si>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</si>
  <si>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</si>
  <si>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</si>
  <si>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</si>
  <si>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</si>
  <si>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</si>
  <si>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</si>
  <si>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</si>
  <si>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</si>
  <si>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</si>
  <si>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</si>
  <si>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</si>
  <si>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</si>
  <si>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</si>
  <si>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</si>
  <si>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</si>
  <si>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</si>
  <si>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</si>
  <si>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</si>
  <si>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</si>
  <si>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</si>
  <si>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</si>
  <si>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</si>
  <si>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</si>
  <si>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</si>
  <si>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</si>
  <si>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</si>
  <si>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</si>
  <si>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</si>
  <si>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</si>
  <si>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</si>
  <si>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</si>
  <si>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</si>
  <si>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</si>
  <si>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</si>
  <si>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</si>
  <si>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</si>
  <si>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</si>
  <si>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</si>
  <si>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</si>
  <si>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</si>
  <si>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</si>
  <si>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</si>
  <si>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</si>
  <si>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</si>
  <si>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</si>
  <si>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</si>
  <si>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</si>
  <si>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</si>
  <si>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</si>
  <si>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</si>
  <si>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</si>
  <si>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</si>
  <si>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</si>
  <si>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</si>
  <si>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</si>
  <si>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</si>
  <si>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</si>
  <si>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</si>
  <si>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</si>
  <si>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</si>
  <si>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</si>
  <si>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</si>
  <si>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</si>
  <si>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</si>
  <si>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</si>
  <si>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</si>
  <si>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</si>
  <si>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</si>
  <si>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</si>
  <si>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</si>
  <si>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</si>
  <si>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</si>
  <si>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</si>
  <si>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</si>
  <si>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</si>
  <si>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</si>
  <si>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</si>
  <si>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</si>
  <si>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</si>
  <si>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</si>
  <si>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</si>
  <si>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</si>
  <si>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</si>
  <si>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</si>
  <si>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</si>
  <si>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</si>
  <si>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</si>
  <si>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</si>
  <si>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</si>
  <si>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</si>
  <si>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</si>
  <si>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</si>
  <si>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</si>
  <si>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</si>
  <si>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</si>
  <si>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</si>
  <si>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</si>
  <si>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</si>
  <si>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</si>
  <si>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</si>
  <si>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</si>
  <si>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</si>
  <si>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</si>
  <si>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</si>
  <si>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</si>
  <si>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</si>
  <si>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</si>
  <si>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</si>
  <si>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</si>
  <si>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</si>
  <si>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</si>
  <si>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</si>
  <si>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</si>
  <si>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</si>
  <si>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</si>
  <si>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</si>
  <si>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</si>
  <si>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</si>
  <si>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</si>
  <si>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</si>
  <si>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</si>
  <si>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</si>
  <si>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</si>
  <si>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</si>
  <si>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</si>
  <si>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</si>
  <si>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</si>
  <si>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</si>
  <si>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</si>
  <si>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</si>
  <si>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</si>
  <si>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</si>
  <si>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</si>
  <si>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</si>
  <si>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</si>
  <si>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</si>
  <si>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</si>
  <si>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</si>
  <si>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</si>
  <si>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</si>
  <si>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</si>
  <si>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</si>
  <si>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</si>
  <si>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</si>
  <si>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</si>
  <si>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</si>
  <si>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</si>
  <si>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</si>
  <si>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</si>
  <si>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</si>
  <si>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</si>
  <si>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</si>
  <si>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</si>
  <si>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</si>
  <si>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</si>
  <si>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</si>
  <si>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</si>
  <si>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</si>
  <si>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</si>
  <si>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</si>
  <si>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</si>
  <si>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</si>
  <si>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</si>
  <si>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</si>
  <si>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</si>
  <si>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</si>
  <si>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</si>
  <si>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</si>
  <si>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</si>
  <si>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</si>
  <si>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</si>
  <si>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</si>
  <si>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</si>
  <si>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</si>
  <si>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</si>
  <si>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</si>
  <si>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</si>
  <si>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</si>
  <si>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</si>
  <si>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</si>
  <si>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</si>
  <si>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</si>
  <si>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</si>
  <si>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</si>
  <si>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</si>
  <si>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</si>
  <si>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</si>
  <si>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</si>
  <si>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</si>
  <si>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</si>
  <si>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</si>
  <si>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</si>
  <si>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</si>
  <si>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</si>
  <si>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</si>
  <si>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</si>
  <si>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</si>
  <si>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</si>
  <si>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</si>
  <si>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</si>
  <si>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</si>
  <si>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</si>
  <si>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</si>
  <si>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</si>
  <si>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</si>
  <si>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</si>
  <si>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</si>
  <si>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</si>
  <si>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</si>
  <si>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</si>
  <si>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</si>
  <si>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</si>
  <si>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</si>
  <si>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</si>
  <si>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</si>
  <si>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</si>
  <si>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</si>
  <si>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</si>
  <si>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</si>
  <si>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</si>
  <si>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</si>
  <si>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</si>
  <si>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</si>
  <si>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</si>
  <si>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</si>
  <si>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</si>
  <si>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</si>
  <si>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</si>
  <si>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</si>
  <si>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</si>
  <si>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</si>
  <si>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</si>
  <si>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</si>
  <si>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</si>
  <si>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</si>
  <si>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</si>
  <si>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</si>
  <si>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</si>
  <si>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</si>
  <si>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</si>
  <si>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</si>
  <si>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</si>
  <si>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</si>
  <si>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</si>
  <si>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</si>
  <si>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</si>
  <si>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</si>
  <si>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</si>
  <si>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</si>
  <si>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</si>
  <si>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</si>
  <si>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</si>
  <si>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</si>
  <si>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</si>
  <si>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</si>
  <si>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</si>
  <si>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</si>
  <si>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</si>
  <si>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</si>
  <si>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</si>
  <si>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</si>
  <si>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</si>
  <si>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</si>
  <si>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</si>
  <si>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</si>
  <si>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</si>
  <si>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</si>
  <si>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</si>
  <si>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</si>
  <si>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</si>
  <si>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</si>
  <si>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</si>
  <si>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</si>
  <si>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</si>
  <si>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</si>
  <si>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</si>
  <si>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</si>
  <si>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</si>
  <si>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</si>
  <si>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</si>
  <si>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</si>
  <si>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</si>
  <si>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</si>
  <si>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</si>
  <si>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</si>
  <si>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</si>
  <si>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</si>
  <si>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</si>
  <si>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</si>
  <si>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</si>
  <si>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</si>
  <si>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</si>
  <si>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</si>
  <si>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</si>
  <si>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</si>
  <si>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</si>
  <si>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</si>
  <si>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</si>
  <si>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</si>
  <si>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</si>
  <si>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</si>
  <si>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</si>
  <si>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</si>
  <si>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</si>
  <si>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</si>
  <si>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</si>
  <si>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</si>
  <si>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</si>
  <si>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</si>
  <si>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</si>
  <si>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</si>
  <si>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</si>
  <si>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</si>
  <si>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</si>
  <si>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</si>
  <si>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</si>
  <si>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</si>
  <si>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</si>
  <si>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</si>
  <si>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</si>
  <si>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</si>
  <si>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</si>
  <si>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</si>
  <si>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</si>
  <si>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</si>
  <si>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</si>
  <si>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</si>
  <si>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</si>
  <si>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</si>
  <si>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</si>
  <si>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</si>
  <si>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</si>
  <si>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</si>
  <si>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</si>
  <si>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</si>
  <si>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</si>
  <si>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</si>
  <si>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</si>
  <si>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</si>
  <si>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</si>
  <si>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</si>
  <si>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</si>
  <si>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</si>
  <si>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</si>
  <si>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</si>
  <si>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</si>
  <si>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</si>
  <si>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</si>
  <si>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</si>
  <si>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</si>
  <si>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</si>
  <si>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</si>
  <si>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</si>
  <si>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</si>
  <si>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</si>
  <si>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</si>
  <si>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</si>
  <si>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</si>
  <si>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</si>
  <si>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</si>
  <si>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</si>
  <si>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</si>
  <si>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</si>
  <si>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</si>
  <si>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</si>
  <si>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</si>
  <si>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</si>
  <si>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</si>
  <si>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</si>
  <si>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</si>
  <si>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</si>
  <si>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</si>
  <si>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</si>
  <si>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</si>
  <si>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</si>
  <si>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</si>
  <si>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</si>
  <si>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</si>
  <si>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</si>
  <si>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</si>
  <si>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</si>
  <si>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</si>
  <si>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</si>
  <si>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</si>
  <si>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</si>
  <si>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</si>
  <si>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</si>
  <si>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</si>
  <si>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</si>
  <si>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</si>
  <si>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</si>
  <si>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</si>
  <si>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</si>
  <si>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</si>
  <si>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</si>
  <si>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</si>
  <si>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</si>
  <si>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</si>
  <si>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</si>
  <si>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</si>
  <si>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</si>
  <si>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</si>
  <si>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</si>
  <si>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</si>
  <si>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</si>
  <si>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</si>
  <si>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</si>
  <si>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</si>
  <si>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</si>
  <si>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</si>
  <si>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</si>
  <si>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</si>
  <si>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</si>
  <si>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</si>
  <si>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</si>
  <si>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</si>
  <si>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</si>
  <si>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</si>
  <si>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</si>
  <si>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</si>
  <si>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</si>
  <si>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</si>
  <si>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</si>
  <si>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</si>
  <si>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</si>
  <si>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</si>
  <si>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</si>
  <si>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</si>
  <si>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</si>
  <si>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</si>
  <si>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</si>
  <si>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</si>
  <si>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</si>
  <si>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</si>
  <si>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</si>
  <si>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</si>
  <si>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</si>
  <si>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</si>
  <si>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</si>
  <si>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</si>
  <si>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</si>
  <si>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</si>
  <si>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</si>
  <si>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</si>
  <si>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</si>
  <si>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</si>
  <si>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</si>
  <si>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</si>
  <si>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</si>
  <si>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</si>
  <si>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</si>
  <si>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</si>
  <si>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</si>
  <si>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</si>
  <si>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</si>
  <si>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</si>
  <si>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</si>
  <si>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</si>
  <si>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</si>
  <si>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</si>
  <si>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</si>
  <si>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</si>
  <si>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</si>
  <si>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</si>
  <si>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</si>
  <si>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</si>
  <si>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</si>
  <si>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</si>
  <si>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</si>
  <si>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</si>
  <si>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</si>
  <si>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</si>
  <si>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</si>
  <si>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</si>
  <si>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</si>
  <si>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</si>
  <si>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</si>
  <si>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</si>
  <si>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</si>
  <si>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</si>
  <si>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</si>
  <si>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</si>
  <si>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</si>
  <si>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</si>
  <si>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</si>
  <si>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</si>
  <si>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</si>
  <si>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</si>
  <si>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</si>
  <si>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</si>
  <si>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</si>
  <si>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</si>
  <si>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</si>
  <si>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</si>
  <si>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</si>
  <si>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</si>
  <si>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</si>
  <si>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</si>
  <si>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</si>
  <si>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</si>
  <si>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</si>
  <si>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</si>
  <si>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</si>
  <si>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</si>
  <si>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</si>
  <si>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</si>
  <si>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</si>
  <si>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</si>
  <si>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</si>
  <si>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</si>
  <si>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</si>
  <si>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</si>
  <si>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</si>
  <si>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</si>
  <si>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</si>
  <si>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</si>
  <si>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</si>
  <si>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</si>
  <si>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</si>
  <si>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</si>
  <si>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</si>
  <si>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</si>
  <si>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</si>
  <si>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</si>
  <si>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</si>
  <si>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</si>
  <si>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</si>
  <si>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</si>
  <si>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</si>
  <si>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</si>
  <si>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</si>
  <si>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</si>
  <si>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</si>
  <si>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</si>
  <si>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</si>
  <si>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</si>
  <si>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</si>
  <si>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</si>
  <si>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</si>
  <si>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</si>
  <si>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</si>
  <si>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</si>
  <si>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</si>
  <si>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</si>
  <si>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</si>
  <si>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</si>
  <si>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</si>
  <si>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</si>
  <si>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</si>
  <si>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</si>
  <si>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</si>
  <si>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</si>
  <si>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</si>
  <si>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</si>
  <si>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</si>
  <si>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</si>
  <si>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</si>
  <si>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</si>
  <si>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</si>
  <si>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</si>
  <si>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</si>
  <si>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</si>
  <si>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</si>
  <si>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</si>
  <si>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</si>
  <si>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</si>
  <si>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</si>
  <si>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</si>
  <si>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</si>
  <si>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</si>
  <si>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</si>
  <si>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</si>
  <si>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</si>
  <si>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</si>
  <si>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</si>
  <si>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</si>
  <si>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</si>
  <si>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</si>
  <si>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</si>
  <si>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</si>
  <si>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</si>
  <si>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</si>
  <si>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</si>
  <si>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</si>
  <si>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</si>
  <si>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</si>
  <si>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</si>
  <si>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</si>
  <si>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</si>
  <si>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</si>
  <si>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</si>
  <si>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</si>
  <si>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</si>
  <si>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</si>
  <si>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</si>
  <si>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</si>
  <si>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</si>
  <si>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</si>
  <si>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</si>
  <si>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</si>
  <si>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</si>
  <si>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</si>
  <si>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</si>
  <si>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</si>
  <si>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</si>
  <si>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</si>
  <si>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</si>
  <si>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</si>
  <si>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</si>
  <si>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</si>
  <si>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</si>
  <si>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</si>
  <si>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</si>
  <si>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</si>
  <si>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</si>
  <si>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</si>
  <si>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</si>
  <si>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</si>
  <si>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</si>
  <si>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</si>
  <si>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</si>
  <si>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</si>
  <si>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</si>
  <si>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</si>
  <si>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</si>
  <si>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</si>
  <si>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</si>
  <si>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</si>
  <si>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</si>
  <si>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</si>
  <si>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</si>
  <si>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</si>
  <si>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</si>
  <si>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</si>
  <si>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</si>
  <si>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</si>
  <si>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</si>
  <si>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</si>
  <si>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</si>
  <si>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</si>
  <si>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</si>
  <si>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</si>
  <si>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</si>
  <si>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</si>
  <si>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</si>
  <si>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</si>
  <si>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</si>
  <si>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</si>
  <si>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</si>
  <si>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</si>
  <si>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</si>
  <si>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</si>
  <si>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</si>
  <si>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</si>
  <si>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</si>
  <si>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</si>
  <si>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</si>
  <si>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</si>
  <si>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</si>
  <si>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</si>
  <si>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</si>
  <si>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</si>
  <si>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</si>
  <si>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</si>
  <si>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</si>
  <si>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</si>
  <si>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</si>
  <si>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</si>
  <si>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</si>
  <si>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</si>
  <si>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</si>
  <si>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</si>
  <si>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</si>
  <si>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</si>
  <si>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</si>
  <si>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</si>
  <si>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</si>
  <si>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</si>
  <si>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</si>
  <si>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</si>
  <si>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</si>
  <si>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</si>
  <si>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</si>
  <si>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</si>
  <si>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</si>
  <si>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</si>
  <si>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</si>
  <si>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</si>
  <si>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</si>
  <si>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</si>
  <si>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</si>
  <si>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</si>
  <si>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</si>
  <si>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</si>
  <si>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</si>
  <si>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</si>
  <si>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</si>
  <si>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</si>
  <si>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</si>
  <si>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</si>
  <si>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</si>
  <si>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</si>
  <si>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</si>
  <si>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</si>
  <si>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</si>
  <si>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</si>
  <si>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</si>
  <si>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</si>
  <si>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</si>
  <si>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</si>
  <si>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</si>
  <si>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</si>
  <si>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</si>
  <si>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</si>
  <si>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</si>
  <si>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</si>
  <si>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</si>
  <si>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</si>
  <si>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</si>
  <si>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</si>
  <si>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</si>
  <si>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</si>
  <si>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</si>
  <si>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</si>
  <si>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</si>
  <si>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</si>
  <si>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</si>
  <si>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</si>
  <si>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</si>
  <si>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</si>
  <si>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</si>
  <si>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</si>
  <si>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</si>
  <si>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</si>
  <si>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</si>
  <si>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</si>
  <si>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</si>
  <si>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</si>
  <si>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</si>
  <si>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</si>
  <si>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</si>
  <si>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</si>
  <si>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</si>
  <si>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</si>
  <si>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</si>
  <si>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</si>
  <si>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</si>
  <si>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</si>
  <si>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</si>
  <si>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</si>
  <si>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</si>
  <si>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</si>
  <si>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</si>
  <si>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</si>
  <si>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</si>
  <si>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</si>
  <si>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</si>
  <si>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</si>
  <si>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</si>
  <si>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</si>
  <si>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</si>
  <si>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</si>
  <si>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</si>
  <si>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</si>
  <si>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</si>
  <si>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</si>
  <si>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</si>
  <si>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</si>
  <si>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</si>
  <si>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</si>
  <si>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</si>
  <si>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</si>
  <si>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</si>
  <si>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</si>
  <si>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</si>
  <si>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</si>
  <si>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</si>
  <si>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</si>
  <si>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</si>
  <si>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</si>
  <si>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</si>
  <si>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</si>
  <si>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</si>
  <si>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</si>
  <si>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</si>
  <si>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</si>
  <si>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</si>
  <si>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</si>
  <si>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</si>
  <si>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</si>
  <si>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</si>
  <si>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</si>
  <si>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</si>
  <si>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</si>
  <si>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</si>
  <si>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</si>
  <si>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</si>
  <si>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</si>
  <si>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</si>
  <si>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</si>
  <si>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</si>
  <si>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</si>
  <si>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</si>
  <si>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</si>
  <si>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</si>
  <si>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</si>
  <si>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</si>
  <si>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</si>
  <si>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</si>
  <si>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</si>
  <si>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</si>
  <si>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</si>
  <si>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</si>
  <si>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</si>
  <si>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</si>
  <si>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</si>
  <si>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</si>
  <si>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</si>
  <si>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</si>
  <si>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</si>
  <si>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</si>
  <si>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</si>
  <si>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</si>
  <si>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</si>
  <si>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</si>
  <si>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</si>
  <si>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</si>
  <si>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</si>
  <si>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</si>
  <si>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</si>
  <si>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</si>
  <si>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</si>
  <si>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</si>
  <si>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</si>
  <si>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</si>
  <si>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</si>
  <si>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</si>
  <si>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</si>
  <si>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</si>
  <si>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</si>
  <si>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</si>
  <si>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</si>
  <si>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</si>
  <si>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</si>
  <si>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</si>
  <si>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</si>
  <si>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</si>
  <si>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</si>
  <si>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</si>
  <si>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</si>
  <si>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</si>
  <si>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</si>
  <si>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</si>
  <si>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</si>
  <si>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</si>
  <si>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</si>
  <si>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</si>
  <si>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</si>
  <si>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</si>
  <si>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</si>
  <si>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</si>
  <si>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</si>
  <si>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</si>
  <si>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</si>
  <si>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</si>
  <si>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</si>
  <si>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</si>
  <si>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</si>
  <si>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</si>
  <si>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</si>
  <si>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</si>
  <si>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</si>
  <si>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</si>
  <si>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</si>
  <si>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</si>
  <si>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</si>
  <si>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</si>
  <si>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</si>
  <si>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</si>
  <si>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</si>
  <si>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</si>
  <si>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</si>
  <si>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</si>
  <si>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</si>
  <si>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</si>
  <si>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</si>
  <si>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</si>
  <si>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</si>
  <si>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</si>
  <si>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</si>
  <si>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</si>
  <si>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</si>
  <si>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</si>
  <si>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</si>
  <si>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</si>
  <si>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</si>
  <si>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</si>
  <si>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</si>
  <si>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</si>
  <si>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</si>
  <si>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</si>
  <si>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</si>
  <si>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</si>
  <si>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</si>
  <si>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</si>
  <si>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</si>
  <si>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</si>
  <si>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</si>
  <si>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</si>
  <si>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</si>
  <si>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</si>
  <si>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</si>
  <si>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</si>
  <si>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</si>
  <si>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</si>
  <si>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</si>
  <si>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</si>
  <si>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</si>
  <si>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</si>
  <si>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</si>
  <si>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</si>
  <si>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</si>
  <si>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</si>
  <si>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</si>
  <si>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</si>
  <si>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</si>
  <si>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</si>
  <si>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</si>
  <si>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</si>
  <si>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</si>
  <si>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</si>
  <si>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</si>
  <si>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</si>
  <si>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</si>
  <si>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</si>
  <si>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</si>
  <si>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</si>
  <si>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</si>
  <si>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</si>
  <si>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</si>
  <si>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</si>
  <si>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</si>
  <si>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</si>
  <si>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</si>
  <si>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</si>
  <si>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</si>
  <si>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</si>
  <si>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</si>
  <si>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</si>
  <si>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</si>
  <si>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</si>
  <si>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</si>
  <si>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</si>
  <si>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</si>
  <si>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</si>
  <si>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</si>
  <si>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</si>
  <si>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</si>
  <si>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</si>
  <si>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</si>
  <si>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</si>
  <si>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</si>
  <si>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</si>
  <si>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</si>
  <si>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</si>
  <si>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</si>
  <si>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</si>
  <si>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</si>
  <si>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</si>
  <si>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</si>
  <si>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</si>
  <si>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</si>
  <si>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</si>
  <si>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</si>
  <si>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</si>
  <si>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</si>
  <si>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</si>
  <si>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</si>
  <si>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</si>
  <si>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</si>
  <si>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</si>
  <si>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</si>
  <si>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</si>
  <si>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</si>
  <si>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</si>
  <si>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</si>
  <si>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</si>
  <si>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</si>
  <si>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</si>
  <si>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</si>
  <si>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</si>
  <si>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</si>
  <si>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</si>
  <si>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</si>
  <si>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</si>
  <si>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</si>
  <si>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</si>
  <si>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</si>
  <si>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</si>
  <si>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</si>
  <si>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</si>
  <si>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</si>
  <si>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</si>
  <si>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</si>
  <si>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</si>
  <si>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</si>
  <si>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</si>
  <si>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</si>
  <si>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</si>
  <si>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</si>
  <si>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</si>
  <si>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</si>
  <si>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</si>
  <si>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</si>
  <si>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</si>
  <si>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</si>
  <si>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</si>
  <si>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</si>
  <si>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</si>
  <si>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</si>
  <si>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</si>
  <si>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</si>
  <si>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</si>
  <si>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</si>
  <si>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</si>
  <si>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</si>
  <si>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</si>
  <si>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</si>
  <si>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</si>
  <si>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</si>
  <si>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</si>
  <si>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</si>
  <si>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</si>
  <si>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</si>
  <si>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</si>
  <si>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</si>
  <si>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</si>
  <si>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</si>
  <si>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</si>
  <si>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</si>
  <si>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</si>
  <si>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</si>
  <si>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</si>
  <si>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</si>
  <si>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</si>
  <si>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</si>
  <si>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</si>
  <si>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</si>
  <si>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</si>
  <si>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</si>
  <si>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</si>
  <si>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</si>
  <si>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</si>
  <si>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</si>
  <si>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</si>
  <si>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</si>
  <si>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</si>
  <si>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</si>
  <si>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</si>
  <si>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</si>
  <si>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</si>
  <si>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</si>
  <si>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</si>
  <si>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</si>
  <si>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</si>
  <si>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</si>
  <si>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</si>
  <si>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</si>
  <si>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</si>
  <si>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</si>
  <si>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</si>
  <si>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</si>
  <si>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</si>
  <si>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</si>
  <si>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</si>
  <si>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</si>
  <si>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</si>
  <si>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</si>
  <si>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</si>
  <si>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</si>
  <si>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</si>
  <si>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</si>
  <si>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</si>
  <si>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</si>
  <si>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</si>
  <si>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</si>
  <si>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</si>
  <si>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</si>
  <si>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</si>
  <si>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</si>
  <si>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</si>
  <si>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</si>
  <si>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</si>
  <si>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</si>
  <si>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</si>
  <si>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</si>
  <si>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</si>
  <si>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</si>
  <si>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</si>
  <si>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</si>
  <si>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</si>
  <si>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</si>
  <si>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</si>
  <si>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</si>
  <si>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</si>
  <si>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</si>
  <si>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</si>
  <si>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</si>
  <si>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</si>
  <si>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</si>
  <si>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</si>
  <si>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</si>
  <si>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</si>
  <si>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</si>
  <si>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</si>
  <si>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</si>
  <si>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</si>
  <si>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</si>
  <si>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</si>
  <si>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</si>
  <si>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</si>
  <si>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</si>
  <si>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</si>
  <si>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</si>
  <si>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</si>
  <si>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</si>
  <si>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</si>
  <si>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</si>
  <si>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</si>
  <si>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</si>
  <si>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</si>
  <si>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</si>
  <si>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</si>
  <si>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</si>
  <si>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</si>
  <si>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</si>
  <si>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</si>
  <si>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</si>
  <si>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</si>
  <si>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</si>
  <si>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</si>
  <si>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</si>
  <si>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</si>
  <si>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</si>
  <si>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</si>
  <si>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</si>
  <si>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</si>
  <si>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</si>
  <si>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</si>
  <si>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</si>
  <si>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</si>
  <si>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</si>
  <si>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</si>
  <si>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</si>
  <si>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</si>
  <si>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</si>
  <si>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</si>
  <si>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</si>
  <si>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</si>
  <si>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</si>
  <si>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</si>
  <si>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</si>
  <si>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</si>
  <si>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</si>
  <si>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</si>
  <si>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</si>
  <si>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</si>
  <si>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</si>
  <si>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</si>
  <si>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</si>
  <si>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</si>
  <si>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</si>
  <si>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</si>
  <si>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</si>
  <si>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</si>
  <si>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</si>
  <si>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</si>
  <si>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</si>
  <si>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</si>
  <si>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</si>
  <si>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</si>
  <si>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</si>
  <si>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</si>
  <si>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</si>
  <si>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</si>
  <si>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</si>
  <si>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</si>
  <si>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</si>
  <si>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</si>
  <si>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</si>
  <si>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</si>
  <si>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</si>
  <si>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</si>
  <si>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</si>
  <si>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</si>
  <si>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</si>
  <si>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</si>
  <si>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</si>
  <si>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</si>
  <si>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</si>
  <si>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</si>
  <si>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</si>
  <si>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</si>
  <si>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</si>
  <si>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</si>
  <si>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</si>
  <si>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</si>
  <si>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</si>
  <si>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</si>
  <si>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</si>
  <si>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</si>
  <si>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</si>
  <si>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</si>
  <si>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</si>
  <si>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</si>
  <si>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</si>
  <si>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</si>
  <si>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</si>
  <si>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</si>
  <si>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</si>
  <si>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</si>
  <si>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</si>
  <si>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</si>
  <si>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</si>
  <si>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</si>
  <si>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</si>
  <si>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</si>
  <si>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</si>
  <si>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</si>
  <si>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</si>
  <si>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</si>
  <si>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</si>
  <si>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</si>
  <si>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</si>
  <si>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</si>
  <si>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</si>
  <si>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</si>
  <si>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</si>
  <si>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</si>
  <si>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</si>
  <si>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</si>
  <si>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</si>
  <si>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</si>
  <si>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</si>
  <si>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</si>
  <si>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</si>
  <si>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</si>
  <si>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</si>
  <si>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</si>
  <si>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</si>
  <si>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</si>
  <si>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</si>
  <si>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</si>
  <si>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</si>
  <si>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</si>
  <si>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</si>
  <si>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</si>
  <si>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</si>
  <si>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</si>
  <si>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</si>
  <si>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</si>
  <si>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</si>
  <si>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</si>
  <si>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</si>
  <si>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</si>
  <si>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</si>
  <si>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</si>
  <si>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</si>
  <si>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</si>
  <si>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</si>
  <si>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</si>
  <si>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</si>
  <si>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</si>
  <si>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</si>
  <si>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</si>
  <si>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</si>
  <si>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</si>
  <si>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</si>
  <si>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</si>
  <si>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</si>
  <si>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</si>
  <si>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</si>
  <si>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</si>
  <si>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</si>
  <si>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</si>
  <si>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</si>
  <si>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</si>
  <si>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</si>
  <si>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</si>
  <si>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</si>
  <si>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</si>
  <si>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</si>
  <si>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</si>
  <si>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</si>
  <si>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</si>
  <si>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</si>
  <si>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</si>
  <si>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</si>
  <si>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</si>
  <si>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</si>
  <si>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</si>
  <si>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</si>
  <si>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</si>
  <si>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</si>
  <si>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</si>
  <si>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</si>
  <si>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</si>
  <si>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</si>
  <si>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</si>
  <si>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</si>
  <si>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</si>
  <si>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</si>
  <si>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</si>
  <si>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</si>
  <si>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</si>
  <si>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</si>
  <si>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</si>
  <si>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</si>
  <si>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</si>
  <si>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</si>
  <si>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</si>
  <si>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</si>
  <si>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</si>
  <si>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</si>
  <si>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</si>
  <si>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</si>
  <si>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</si>
  <si>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</si>
  <si>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</si>
  <si>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</si>
  <si>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</si>
  <si>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</si>
  <si>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</si>
  <si>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</si>
  <si>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</si>
  <si>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</si>
  <si>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</si>
  <si>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</si>
  <si>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</si>
  <si>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</si>
  <si>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</si>
  <si>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</si>
  <si>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</si>
  <si>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</si>
  <si>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</si>
  <si>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</si>
  <si>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</si>
  <si>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</si>
  <si>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</si>
  <si>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</si>
  <si>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</si>
  <si>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</si>
  <si>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</si>
  <si>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</si>
  <si>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</si>
  <si>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</si>
  <si>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</si>
  <si>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</si>
  <si>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</si>
  <si>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</si>
  <si>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</si>
  <si>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</si>
  <si>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</si>
  <si>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</si>
  <si>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</si>
  <si>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</si>
  <si>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</si>
  <si>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</si>
  <si>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</si>
  <si>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</si>
  <si>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</si>
  <si>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</si>
  <si>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</si>
  <si>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</si>
  <si>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</si>
  <si>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</si>
  <si>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</si>
  <si>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</si>
  <si>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</si>
  <si>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</si>
  <si>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</si>
  <si>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</si>
  <si>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</si>
  <si>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</si>
  <si>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</si>
  <si>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</si>
  <si>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</si>
  <si>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</si>
  <si>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</si>
  <si>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</si>
  <si>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</si>
  <si>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</si>
  <si>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</si>
  <si>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</si>
  <si>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</si>
  <si>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</si>
  <si>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</si>
  <si>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</si>
  <si>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</si>
  <si>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</si>
  <si>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</si>
  <si>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</si>
  <si>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</si>
  <si>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</si>
  <si>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</si>
  <si>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</si>
  <si>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</si>
  <si>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</si>
  <si>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</si>
  <si>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</si>
  <si>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</si>
  <si>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</si>
  <si>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</si>
  <si>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</si>
  <si>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</si>
  <si>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</si>
  <si>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</si>
  <si>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</si>
  <si>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</si>
  <si>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</si>
  <si>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</si>
  <si>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</si>
  <si>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</si>
  <si>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</si>
  <si>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</si>
  <si>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</si>
  <si>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</si>
  <si>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</si>
  <si>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</si>
  <si>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</si>
  <si>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</si>
  <si>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</si>
  <si>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</si>
  <si>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</si>
  <si>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</si>
  <si>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</si>
  <si>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</si>
  <si>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</si>
  <si>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</si>
  <si>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</si>
  <si>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</si>
  <si>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</si>
  <si>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</si>
  <si>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</si>
  <si>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</si>
  <si>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</si>
  <si>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</si>
  <si>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</si>
  <si>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</si>
  <si>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</si>
  <si>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</si>
  <si>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</si>
  <si>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</si>
  <si>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</si>
  <si>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</si>
  <si>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</si>
  <si>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</si>
  <si>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</si>
  <si>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</si>
  <si>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</si>
  <si>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</si>
  <si>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</si>
  <si>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</si>
  <si>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</si>
  <si>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</si>
  <si>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</si>
  <si>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</si>
  <si>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</si>
  <si>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</si>
  <si>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</si>
  <si>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</si>
  <si>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</si>
  <si>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</si>
  <si>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</si>
  <si>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</si>
  <si>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</si>
  <si>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</si>
  <si>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</si>
  <si>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</si>
  <si>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</si>
  <si>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</si>
  <si>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</si>
  <si>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</si>
  <si>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</si>
  <si>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</si>
  <si>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</si>
  <si>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</si>
  <si>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</si>
  <si>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</si>
  <si>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</si>
  <si>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</si>
  <si>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</si>
  <si>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</si>
  <si>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</si>
  <si>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</si>
  <si>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</si>
  <si>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</si>
  <si>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</si>
  <si>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</si>
  <si>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</si>
  <si>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</si>
  <si>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</si>
  <si>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</si>
  <si>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</si>
  <si>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</si>
  <si>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</si>
  <si>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</si>
  <si>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</si>
  <si>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</si>
  <si>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</si>
  <si>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</si>
  <si>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</si>
  <si>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</si>
  <si>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</si>
  <si>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</si>
  <si>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</si>
  <si>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</si>
  <si>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</si>
  <si>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</si>
  <si>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</si>
  <si>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</si>
  <si>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</si>
  <si>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</si>
  <si>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</si>
  <si>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</si>
  <si>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</si>
  <si>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</si>
  <si>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</si>
  <si>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</si>
  <si>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</si>
  <si>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</si>
  <si>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</si>
  <si>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</si>
  <si>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</si>
  <si>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</si>
  <si>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</si>
  <si>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</si>
  <si>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</si>
  <si>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</si>
  <si>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</si>
  <si>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</si>
  <si>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</si>
  <si>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</si>
  <si>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</si>
  <si>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</si>
  <si>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</si>
  <si>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</si>
  <si>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</si>
  <si>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</si>
  <si>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</si>
  <si>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</si>
  <si>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</si>
  <si>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</si>
  <si>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</si>
  <si>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</si>
  <si>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</si>
  <si>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</si>
  <si>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</si>
  <si>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</si>
  <si>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</si>
  <si>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</si>
  <si>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</si>
  <si>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</si>
  <si>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</si>
  <si>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</si>
  <si>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</si>
  <si>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</si>
  <si>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</si>
  <si>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</si>
  <si>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</si>
  <si>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</si>
  <si>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</si>
  <si>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</si>
  <si>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</si>
  <si>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</si>
  <si>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</si>
  <si>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</si>
  <si>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</si>
  <si>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</si>
  <si>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</si>
  <si>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</si>
  <si>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</si>
  <si>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</si>
  <si>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</si>
  <si>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</si>
  <si>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</si>
  <si>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</si>
  <si>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</si>
  <si>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</si>
  <si>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</si>
  <si>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</si>
  <si>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</si>
  <si>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</si>
  <si>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</si>
  <si>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</si>
  <si>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</si>
  <si>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</si>
  <si>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</si>
  <si>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</si>
  <si>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</si>
  <si>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</si>
  <si>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</si>
  <si>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</si>
  <si>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</si>
  <si>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</si>
  <si>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</si>
  <si>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</si>
  <si>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</si>
  <si>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</si>
  <si>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</si>
  <si>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</si>
  <si>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</si>
  <si>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</si>
  <si>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</si>
  <si>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</si>
  <si>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</si>
  <si>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</si>
  <si>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</si>
  <si>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</si>
  <si>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</si>
  <si>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</si>
  <si>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</si>
  <si>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</si>
  <si>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</si>
  <si>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</si>
  <si>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</si>
  <si>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</si>
  <si>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</si>
  <si>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</si>
  <si>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</si>
  <si>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</si>
  <si>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</si>
  <si>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</si>
  <si>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</si>
  <si>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</si>
  <si>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</si>
  <si>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</si>
  <si>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</si>
  <si>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</si>
  <si>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</si>
  <si>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</si>
  <si>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</si>
  <si>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</si>
  <si>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</si>
  <si>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</si>
  <si>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</si>
  <si>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</si>
  <si>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</si>
  <si>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</si>
  <si>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</si>
  <si>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</si>
  <si>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</si>
  <si>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</si>
  <si>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</si>
  <si>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</si>
  <si>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</si>
  <si>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</si>
  <si>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</si>
  <si>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</si>
  <si>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</si>
  <si>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</si>
  <si>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</si>
  <si>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</si>
  <si>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</si>
  <si>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</si>
  <si>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</si>
  <si>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</si>
  <si>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</si>
  <si>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</si>
  <si>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</si>
  <si>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</si>
  <si>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</si>
  <si>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</si>
  <si>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</si>
  <si>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</si>
  <si>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</si>
  <si>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</si>
  <si>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</si>
  <si>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</si>
  <si>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</si>
  <si>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</si>
  <si>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</si>
  <si>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</si>
  <si>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</si>
  <si>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</si>
  <si>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</si>
  <si>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</si>
  <si>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</si>
  <si>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</si>
  <si>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</si>
  <si>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</si>
  <si>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</si>
  <si>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</si>
  <si>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</si>
  <si>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</si>
  <si>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</si>
  <si>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</si>
  <si>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</si>
  <si>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</si>
  <si>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</si>
  <si>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</si>
  <si>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</si>
  <si>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</si>
  <si>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</si>
  <si>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</si>
  <si>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</si>
  <si>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</si>
  <si>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</si>
  <si>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</si>
  <si>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</si>
  <si>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</si>
  <si>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</si>
  <si>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</si>
  <si>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</si>
  <si>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</si>
  <si>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</si>
  <si>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</si>
  <si>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</si>
  <si>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</si>
  <si>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</si>
  <si>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</si>
  <si>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</si>
  <si>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</si>
  <si>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</si>
  <si>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</si>
  <si>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</si>
  <si>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</si>
  <si>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</si>
  <si>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</si>
  <si>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</si>
  <si>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</si>
  <si>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</si>
  <si>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</si>
  <si>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</si>
  <si>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</si>
  <si>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</si>
  <si>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</si>
  <si>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</si>
  <si>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</si>
  <si>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</si>
  <si>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</si>
  <si>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</si>
  <si>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</si>
  <si>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</si>
  <si>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</si>
  <si>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</si>
  <si>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</si>
  <si>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</si>
  <si>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</si>
  <si>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</si>
  <si>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</si>
  <si>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</si>
  <si>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</si>
  <si>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</si>
  <si>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</si>
  <si>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</si>
  <si>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</si>
  <si>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</si>
  <si>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</si>
  <si>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</si>
  <si>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</si>
  <si>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</si>
  <si>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</si>
  <si>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</si>
  <si>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</si>
  <si>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</si>
  <si>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</si>
  <si>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</si>
  <si>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</si>
  <si>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</si>
  <si>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</si>
  <si>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</si>
  <si>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</si>
  <si>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</si>
  <si>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</si>
  <si>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</si>
  <si>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</si>
  <si>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</si>
  <si>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</si>
  <si>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</si>
  <si>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</si>
  <si>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</si>
  <si>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</si>
  <si>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</si>
  <si>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</si>
  <si>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</si>
  <si>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</si>
  <si>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</si>
  <si>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</si>
  <si>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</si>
  <si>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</si>
  <si>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</si>
  <si>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</si>
  <si>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</si>
  <si>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</si>
  <si>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</si>
  <si>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</si>
  <si>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</si>
  <si>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</si>
  <si>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</si>
  <si>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</si>
  <si>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</si>
  <si>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</si>
  <si>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</si>
  <si>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</si>
  <si>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</si>
  <si>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</si>
  <si>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</si>
  <si>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</si>
  <si>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</si>
  <si>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</si>
  <si>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</si>
  <si>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</si>
  <si>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</si>
  <si>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</si>
  <si>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</si>
  <si>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</si>
  <si>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</si>
  <si>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</si>
  <si>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</si>
  <si>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</si>
  <si>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</si>
  <si>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</si>
  <si>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</si>
  <si>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</si>
  <si>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</si>
  <si>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</si>
  <si>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</si>
  <si>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</si>
  <si>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</si>
  <si>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</si>
  <si>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</si>
  <si>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</si>
  <si>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</si>
  <si>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</si>
  <si>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</si>
  <si>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</si>
  <si>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</si>
  <si>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</si>
  <si>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</si>
  <si>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</si>
  <si>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</si>
  <si>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</si>
  <si>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</si>
  <si>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</si>
  <si>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</si>
  <si>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</si>
  <si>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</si>
  <si>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</si>
  <si>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</si>
  <si>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</si>
  <si>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</si>
  <si>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</si>
  <si>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</si>
  <si>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</si>
  <si>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</si>
  <si>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</si>
  <si>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</si>
  <si>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</si>
  <si>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</si>
  <si>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</si>
  <si>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</si>
  <si>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</si>
  <si>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</si>
  <si>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</si>
  <si>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</si>
  <si>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</si>
  <si>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</si>
  <si>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</si>
  <si>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</si>
  <si>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</si>
  <si>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</si>
  <si>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</si>
  <si>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</si>
  <si>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</si>
  <si>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</si>
  <si>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</si>
  <si>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</si>
  <si>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</si>
  <si>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</si>
  <si>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</si>
  <si>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</si>
  <si>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</si>
  <si>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</si>
  <si>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</si>
  <si>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</si>
  <si>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</si>
  <si>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</si>
  <si>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</si>
  <si>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</si>
  <si>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</si>
  <si>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</si>
  <si>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</si>
  <si>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</si>
  <si>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</si>
  <si>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</si>
  <si>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</si>
  <si>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</si>
  <si>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</si>
  <si>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</si>
  <si>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</si>
  <si>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</si>
  <si>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</si>
  <si>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</si>
  <si>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</si>
  <si>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</si>
  <si>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</si>
  <si>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</si>
  <si>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</si>
  <si>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</si>
  <si>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</si>
  <si>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</si>
  <si>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</si>
  <si>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</si>
  <si>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</si>
  <si>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</si>
  <si>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</si>
  <si>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</si>
  <si>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</si>
  <si>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</si>
  <si>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</si>
  <si>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</si>
  <si>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</si>
  <si>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</si>
  <si>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</si>
  <si>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</si>
  <si>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</si>
  <si>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</si>
  <si>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</si>
  <si>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</si>
  <si>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</si>
  <si>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</si>
  <si>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</si>
  <si>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</si>
  <si>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</si>
  <si>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</si>
  <si>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</si>
  <si>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</si>
  <si>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</si>
  <si>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</si>
  <si>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</si>
  <si>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</si>
  <si>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</si>
  <si>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</si>
  <si>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</si>
  <si>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</si>
  <si>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</si>
  <si>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</si>
  <si>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</si>
  <si>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</si>
  <si>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</si>
  <si>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</si>
  <si>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</si>
  <si>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</si>
  <si>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</si>
  <si>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</si>
  <si>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</si>
  <si>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</si>
  <si>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</si>
  <si>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</si>
  <si>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</si>
  <si>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</si>
  <si>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</si>
  <si>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</si>
  <si>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</si>
  <si>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</si>
  <si>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</si>
  <si>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</si>
  <si>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</si>
  <si>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</si>
  <si>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</si>
  <si>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</si>
  <si>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</si>
  <si>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</si>
  <si>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</si>
  <si>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</si>
  <si>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</si>
  <si>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</si>
  <si>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</si>
  <si>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</si>
  <si>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</si>
  <si>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</si>
  <si>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</si>
  <si>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</si>
  <si>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</si>
  <si>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</si>
  <si>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</si>
  <si>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</si>
  <si>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</si>
  <si>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</si>
  <si>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</si>
  <si>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</si>
  <si>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</si>
  <si>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</si>
  <si>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</si>
  <si>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</si>
  <si>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</si>
  <si>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</si>
  <si>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</si>
  <si>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</si>
  <si>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</si>
  <si>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</si>
  <si>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</si>
  <si>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</si>
  <si>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</si>
  <si>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</si>
  <si>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</si>
  <si>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</si>
  <si>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</si>
  <si>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</si>
  <si>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</si>
  <si>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</si>
  <si>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</si>
  <si>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</si>
  <si>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</si>
  <si>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</si>
  <si>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</si>
  <si>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</si>
  <si>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</si>
  <si>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</si>
  <si>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</si>
  <si>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</si>
  <si>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</si>
  <si>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</si>
  <si>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</si>
  <si>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</si>
  <si>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</si>
  <si>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</si>
  <si>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</si>
  <si>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</si>
  <si>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</si>
  <si>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</si>
  <si>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</si>
  <si>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</si>
  <si>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</si>
  <si>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</si>
  <si>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</si>
  <si>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</si>
  <si>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</si>
  <si>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</si>
  <si>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</si>
  <si>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</si>
  <si>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</si>
  <si>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</si>
  <si>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</si>
  <si>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</si>
  <si>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</si>
  <si>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</si>
  <si>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</si>
  <si>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</si>
  <si>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</si>
  <si>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</si>
  <si>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</si>
  <si>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</si>
  <si>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</si>
  <si>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</si>
  <si>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</si>
  <si>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</si>
  <si>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</si>
  <si>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</si>
  <si>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</si>
  <si>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</si>
  <si>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</si>
  <si>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</si>
  <si>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</si>
  <si>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</si>
  <si>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</si>
  <si>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</si>
  <si>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</si>
  <si>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</si>
  <si>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</si>
  <si>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</si>
  <si>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</si>
  <si>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</si>
  <si>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</si>
  <si>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</si>
  <si>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</si>
  <si>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</si>
  <si>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</si>
  <si>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</si>
  <si>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</si>
  <si>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</si>
  <si>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</si>
  <si>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</si>
  <si>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</si>
  <si>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</si>
  <si>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</si>
  <si>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</si>
  <si>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</si>
  <si>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</si>
  <si>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</si>
  <si>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</si>
  <si>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</si>
  <si>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</si>
  <si>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</si>
  <si>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</si>
  <si>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</si>
  <si>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</si>
  <si>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</si>
  <si>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</si>
  <si>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</si>
  <si>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</si>
  <si>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</si>
  <si>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</si>
  <si>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</si>
  <si>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</si>
  <si>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</si>
  <si>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</si>
  <si>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</si>
  <si>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</si>
  <si>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</si>
  <si>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</si>
  <si>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</si>
  <si>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</si>
  <si>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</si>
  <si>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</si>
  <si>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</si>
  <si>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</si>
  <si>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</si>
  <si>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</si>
  <si>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</si>
  <si>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</si>
  <si>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</si>
  <si>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</si>
  <si>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</si>
  <si>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</si>
  <si>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</si>
  <si>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</si>
  <si>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</si>
  <si>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</si>
  <si>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</si>
  <si>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</si>
  <si>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</si>
  <si>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</si>
  <si>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</si>
  <si>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</si>
  <si>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</si>
  <si>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</si>
  <si>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</si>
  <si>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</si>
  <si>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</si>
  <si>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</si>
  <si>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</si>
  <si>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</si>
  <si>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</si>
  <si>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</si>
  <si>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</si>
  <si>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</si>
  <si>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</si>
  <si>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</si>
  <si>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</si>
  <si>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</si>
  <si>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</si>
  <si>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</si>
  <si>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</si>
  <si>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</si>
  <si>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</si>
  <si>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</si>
  <si>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</si>
  <si>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</si>
  <si>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</si>
  <si>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</si>
  <si>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</si>
  <si>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</si>
  <si>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</si>
  <si>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</si>
  <si>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</si>
  <si>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</si>
  <si>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</si>
  <si>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</si>
  <si>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</si>
  <si>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</si>
  <si>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</si>
  <si>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</si>
  <si>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</si>
  <si>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</si>
  <si>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</si>
  <si>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</si>
  <si>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</si>
  <si>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</si>
  <si>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</si>
  <si>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</si>
  <si>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</si>
  <si>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</si>
  <si>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</si>
  <si>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</si>
  <si>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</si>
  <si>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</si>
  <si>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</si>
  <si>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</si>
  <si>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</si>
  <si>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</si>
  <si>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</si>
  <si>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</si>
  <si>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</si>
  <si>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</si>
  <si>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</si>
  <si>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</si>
  <si>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</si>
  <si>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</si>
  <si>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</si>
  <si>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FFT/AUROM</t>
  </si>
  <si>
    <t>F173336</t>
  </si>
  <si>
    <t>KJLTVR111270R01</t>
  </si>
  <si>
    <t>LTVR1</t>
  </si>
  <si>
    <t>2 - LLENA</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</si>
</sst>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9">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
      <sz val="10"/>
      <name val="Arial"/>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8">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xf numFmtId="0" fontId="3" fillId="0" borderId="0"/>
    <xf numFmtId="0" fontId="88" fillId="0" borderId="0"/>
  </cellStyleXfs>
  <cellXfs count="1011">
    <xf numFmtId="0" fontId="0" fillId="0" borderId="0" xfId="0"/>
    <xf numFmtId="0" fontId="3" fillId="0" borderId="0" xfId="0" applyFont="1" applyProtection="1"/>
    <xf numFmtId="0" fontId="3" fillId="0" borderId="10" xfId="0" applyFont="1" applyFill="1" applyBorder="1" applyProtection="1"/>
    <xf numFmtId="0" fontId="3" fillId="0" borderId="0" xfId="0" applyFont="1"/>
    <xf numFmtId="0" fontId="4" fillId="0" borderId="0" xfId="0" applyFont="1" applyBorder="1" applyProtection="1">
      <protection hidden="1"/>
    </xf>
    <xf numFmtId="0" fontId="3" fillId="0" borderId="0" xfId="0" applyFont="1" applyBorder="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3" fillId="0" borderId="0" xfId="0" applyFont="1" applyProtection="1">
      <protection hidden="1"/>
    </xf>
    <xf numFmtId="0" fontId="2" fillId="0" borderId="0" xfId="0" applyFont="1" applyBorder="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Fill="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Border="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0" fontId="6" fillId="0" borderId="0" xfId="0" applyFont="1" applyFill="1" applyBorder="1" applyProtection="1">
      <protection hidden="1"/>
    </xf>
    <xf numFmtId="1" fontId="2" fillId="0" borderId="0" xfId="0" applyNumberFormat="1" applyFont="1" applyFill="1" applyBorder="1" applyProtection="1">
      <protection hidden="1"/>
    </xf>
    <xf numFmtId="1" fontId="6" fillId="0" borderId="0" xfId="0" applyNumberFormat="1" applyFont="1" applyFill="1" applyBorder="1" applyProtection="1">
      <protection hidden="1"/>
    </xf>
    <xf numFmtId="0" fontId="4" fillId="0" borderId="0" xfId="0" applyFont="1" applyFill="1" applyBorder="1" applyProtection="1">
      <protection hidden="1"/>
    </xf>
    <xf numFmtId="1" fontId="4" fillId="0" borderId="0" xfId="0" applyNumberFormat="1" applyFont="1" applyFill="1" applyBorder="1" applyProtection="1">
      <protection hidden="1"/>
    </xf>
    <xf numFmtId="0" fontId="3" fillId="0" borderId="10" xfId="0" applyFont="1" applyFill="1" applyBorder="1" applyProtection="1">
      <protection hidden="1"/>
    </xf>
    <xf numFmtId="1" fontId="3" fillId="0" borderId="10" xfId="0" applyNumberFormat="1" applyFont="1" applyFill="1" applyBorder="1" applyProtection="1">
      <protection hidden="1"/>
    </xf>
    <xf numFmtId="0" fontId="3" fillId="0" borderId="0" xfId="0" applyFont="1" applyFill="1" applyBorder="1" applyProtection="1">
      <protection hidden="1"/>
    </xf>
    <xf numFmtId="0" fontId="4" fillId="0" borderId="23" xfId="0" applyFont="1" applyFill="1" applyBorder="1" applyProtection="1">
      <protection hidden="1"/>
    </xf>
    <xf numFmtId="0" fontId="4" fillId="0" borderId="23" xfId="0" applyFont="1" applyFill="1" applyBorder="1" applyAlignment="1" applyProtection="1">
      <alignment horizontal="center"/>
      <protection hidden="1"/>
    </xf>
    <xf numFmtId="0" fontId="4" fillId="0" borderId="24" xfId="0" applyFont="1" applyFill="1" applyBorder="1" applyProtection="1">
      <protection hidden="1"/>
    </xf>
    <xf numFmtId="0" fontId="4" fillId="0" borderId="24" xfId="0" applyFont="1" applyFill="1" applyBorder="1" applyAlignment="1" applyProtection="1">
      <alignment horizontal="center"/>
      <protection hidden="1"/>
    </xf>
    <xf numFmtId="0" fontId="4" fillId="0" borderId="25" xfId="0" applyFont="1" applyFill="1" applyBorder="1" applyProtection="1">
      <protection hidden="1"/>
    </xf>
    <xf numFmtId="0" fontId="4" fillId="0" borderId="25" xfId="0" applyFont="1" applyFill="1" applyBorder="1" applyAlignment="1" applyProtection="1">
      <alignment horizontal="center"/>
      <protection hidden="1"/>
    </xf>
    <xf numFmtId="1" fontId="3" fillId="0" borderId="0" xfId="0" applyNumberFormat="1" applyFont="1" applyBorder="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Border="1" applyAlignment="1" applyProtection="1">
      <alignment horizontal="center"/>
      <protection hidden="1"/>
    </xf>
    <xf numFmtId="2" fontId="3" fillId="0" borderId="40" xfId="0" applyNumberFormat="1" applyFont="1" applyFill="1" applyBorder="1" applyProtection="1">
      <protection hidden="1"/>
    </xf>
    <xf numFmtId="2" fontId="3" fillId="0" borderId="17" xfId="0" applyNumberFormat="1" applyFont="1" applyFill="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Border="1" applyAlignment="1" applyProtection="1">
      <alignment horizontal="center"/>
      <protection hidden="1"/>
    </xf>
    <xf numFmtId="0" fontId="3" fillId="0" borderId="0" xfId="0" applyFont="1" applyBorder="1"/>
    <xf numFmtId="0" fontId="4" fillId="0" borderId="0" xfId="0" applyFont="1"/>
    <xf numFmtId="0" fontId="4" fillId="0" borderId="23" xfId="0" applyFont="1" applyBorder="1"/>
    <xf numFmtId="0" fontId="3" fillId="0" borderId="25" xfId="0" applyFont="1" applyBorder="1" applyAlignment="1">
      <alignment horizontal="center"/>
    </xf>
    <xf numFmtId="0" fontId="3" fillId="0" borderId="10" xfId="0" applyFont="1" applyBorder="1"/>
    <xf numFmtId="0" fontId="4" fillId="0" borderId="0" xfId="0" applyFont="1" applyBorder="1" applyProtection="1"/>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Fill="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0" xfId="0" applyFont="1" applyFill="1"/>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Border="1" applyProtection="1">
      <protection hidden="1"/>
    </xf>
    <xf numFmtId="0" fontId="6" fillId="0" borderId="11" xfId="0" applyFont="1" applyFill="1" applyBorder="1"/>
    <xf numFmtId="0" fontId="3" fillId="0" borderId="11" xfId="0" applyFont="1" applyFill="1" applyBorder="1"/>
    <xf numFmtId="0" fontId="6" fillId="0" borderId="0" xfId="0" applyFont="1" applyFill="1" applyBorder="1"/>
    <xf numFmtId="0" fontId="4" fillId="0" borderId="0" xfId="0" applyFont="1" applyFill="1" applyBorder="1"/>
    <xf numFmtId="0" fontId="4" fillId="0" borderId="0" xfId="0" applyFont="1" applyFill="1" applyProtection="1">
      <protection hidden="1"/>
    </xf>
    <xf numFmtId="1" fontId="4" fillId="0" borderId="0" xfId="0" applyNumberFormat="1" applyFont="1" applyFill="1" applyBorder="1"/>
    <xf numFmtId="1" fontId="4" fillId="0" borderId="0" xfId="0" applyNumberFormat="1" applyFont="1" applyFill="1"/>
    <xf numFmtId="0" fontId="4" fillId="0" borderId="0" xfId="0" applyFont="1" applyFill="1"/>
    <xf numFmtId="0" fontId="3" fillId="0" borderId="46" xfId="0" applyFont="1" applyBorder="1"/>
    <xf numFmtId="1" fontId="4" fillId="0" borderId="47" xfId="0" applyNumberFormat="1" applyFont="1" applyFill="1" applyBorder="1"/>
    <xf numFmtId="0" fontId="3" fillId="0" borderId="47" xfId="0" applyFont="1" applyFill="1" applyBorder="1"/>
    <xf numFmtId="0" fontId="3" fillId="0" borderId="48" xfId="0" applyFont="1" applyBorder="1"/>
    <xf numFmtId="0" fontId="3" fillId="0" borderId="49" xfId="0" applyFont="1" applyBorder="1"/>
    <xf numFmtId="0" fontId="4" fillId="0" borderId="50" xfId="0" applyFont="1" applyFill="1" applyBorder="1" applyProtection="1">
      <protection hidden="1"/>
    </xf>
    <xf numFmtId="1" fontId="4" fillId="0" borderId="48" xfId="0" applyNumberFormat="1" applyFont="1" applyFill="1" applyBorder="1" applyProtection="1">
      <protection hidden="1"/>
    </xf>
    <xf numFmtId="1" fontId="4" fillId="0" borderId="41" xfId="0" applyNumberFormat="1" applyFont="1" applyFill="1" applyBorder="1" applyProtection="1">
      <protection hidden="1"/>
    </xf>
    <xf numFmtId="0" fontId="4" fillId="0" borderId="10" xfId="0" applyFont="1" applyFill="1" applyBorder="1"/>
    <xf numFmtId="0" fontId="3" fillId="0" borderId="47" xfId="0" applyFont="1" applyBorder="1"/>
    <xf numFmtId="0" fontId="4" fillId="0" borderId="10" xfId="0" applyFont="1" applyFill="1" applyBorder="1" applyProtection="1">
      <protection hidden="1"/>
    </xf>
    <xf numFmtId="0" fontId="9" fillId="0" borderId="41" xfId="0" applyFont="1" applyFill="1" applyBorder="1"/>
    <xf numFmtId="0" fontId="4" fillId="0" borderId="23" xfId="0" applyFont="1" applyFill="1" applyBorder="1" applyAlignment="1">
      <alignment horizontal="center"/>
    </xf>
    <xf numFmtId="1" fontId="4" fillId="0" borderId="23" xfId="0" applyNumberFormat="1" applyFont="1" applyFill="1" applyBorder="1" applyAlignment="1">
      <alignment horizontal="center"/>
    </xf>
    <xf numFmtId="0" fontId="4" fillId="0" borderId="51" xfId="0" applyFont="1" applyFill="1" applyBorder="1" applyAlignment="1" applyProtection="1">
      <alignment horizontal="center"/>
      <protection hidden="1"/>
    </xf>
    <xf numFmtId="1" fontId="4" fillId="0" borderId="52" xfId="0" applyNumberFormat="1" applyFont="1" applyFill="1" applyBorder="1" applyAlignment="1" applyProtection="1">
      <alignment horizontal="center"/>
      <protection hidden="1"/>
    </xf>
    <xf numFmtId="16" fontId="4" fillId="0" borderId="53" xfId="0" applyNumberFormat="1" applyFont="1" applyFill="1" applyBorder="1" applyAlignment="1" applyProtection="1">
      <alignment horizontal="center"/>
      <protection hidden="1"/>
    </xf>
    <xf numFmtId="0" fontId="4" fillId="0" borderId="53" xfId="0" applyFont="1" applyFill="1" applyBorder="1" applyAlignment="1" applyProtection="1">
      <alignment horizontal="center"/>
      <protection hidden="1"/>
    </xf>
    <xf numFmtId="0" fontId="4" fillId="0" borderId="53" xfId="0" applyFont="1" applyFill="1" applyBorder="1" applyAlignment="1">
      <alignment horizontal="center"/>
    </xf>
    <xf numFmtId="0" fontId="3" fillId="0" borderId="51" xfId="0" applyFont="1" applyBorder="1"/>
    <xf numFmtId="0" fontId="4" fillId="0" borderId="24" xfId="0" applyFont="1" applyFill="1" applyBorder="1" applyAlignment="1">
      <alignment horizontal="center"/>
    </xf>
    <xf numFmtId="1" fontId="4" fillId="0" borderId="24" xfId="0" applyNumberFormat="1" applyFont="1" applyFill="1" applyBorder="1" applyAlignment="1">
      <alignment horizontal="center"/>
    </xf>
    <xf numFmtId="0" fontId="4" fillId="0" borderId="54" xfId="0" applyFont="1" applyFill="1" applyBorder="1"/>
    <xf numFmtId="0" fontId="4" fillId="0" borderId="52" xfId="0" applyFont="1" applyFill="1" applyBorder="1" applyAlignment="1">
      <alignment horizontal="center"/>
    </xf>
    <xf numFmtId="1" fontId="4" fillId="0" borderId="52" xfId="0" applyNumberFormat="1" applyFont="1" applyFill="1" applyBorder="1" applyAlignment="1">
      <alignment horizontal="center"/>
    </xf>
    <xf numFmtId="0" fontId="3" fillId="0" borderId="0" xfId="0" applyFont="1" applyFill="1" applyBorder="1"/>
    <xf numFmtId="1" fontId="3" fillId="0" borderId="0" xfId="0" applyNumberFormat="1" applyFont="1" applyFill="1"/>
    <xf numFmtId="0" fontId="10" fillId="0" borderId="11" xfId="0" applyFont="1" applyFill="1" applyBorder="1"/>
    <xf numFmtId="0" fontId="3" fillId="0" borderId="55" xfId="0" applyFont="1" applyBorder="1" applyAlignment="1" applyProtection="1">
      <alignment horizontal="center"/>
      <protection hidden="1"/>
    </xf>
    <xf numFmtId="0" fontId="4" fillId="0" borderId="11" xfId="0" applyFont="1" applyFill="1" applyBorder="1"/>
    <xf numFmtId="1" fontId="3" fillId="0" borderId="0" xfId="0" applyNumberFormat="1" applyFont="1" applyFill="1" applyBorder="1" applyProtection="1">
      <protection hidden="1"/>
    </xf>
    <xf numFmtId="0" fontId="4" fillId="0" borderId="47" xfId="0" applyFont="1" applyFill="1" applyBorder="1" applyProtection="1">
      <protection hidden="1"/>
    </xf>
    <xf numFmtId="0" fontId="4" fillId="0" borderId="56" xfId="0" applyFont="1" applyFill="1" applyBorder="1"/>
    <xf numFmtId="0" fontId="4" fillId="0" borderId="57" xfId="0" applyFont="1" applyFill="1" applyBorder="1" applyProtection="1">
      <protection hidden="1"/>
    </xf>
    <xf numFmtId="0" fontId="4" fillId="0" borderId="23" xfId="0" applyFont="1" applyBorder="1" applyAlignment="1">
      <alignment horizontal="center"/>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25" xfId="0" applyFont="1" applyFill="1" applyBorder="1" applyAlignment="1">
      <alignment horizontal="center"/>
    </xf>
    <xf numFmtId="0" fontId="3" fillId="0" borderId="10" xfId="0" applyFont="1" applyFill="1" applyBorder="1" applyAlignment="1">
      <alignment horizontal="center"/>
    </xf>
    <xf numFmtId="0" fontId="3" fillId="0" borderId="10" xfId="37" applyFont="1" applyFill="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Border="1" applyAlignment="1" applyProtection="1">
      <alignment horizontal="center"/>
      <protection hidden="1"/>
    </xf>
    <xf numFmtId="0" fontId="3" fillId="0" borderId="0" xfId="0" applyFont="1" applyAlignment="1" applyProtection="1">
      <alignment horizontal="center"/>
      <protection hidden="1"/>
    </xf>
    <xf numFmtId="0" fontId="3" fillId="0" borderId="0" xfId="0" applyFont="1" applyBorder="1" applyAlignment="1" applyProtection="1">
      <alignment horizontal="center"/>
      <protection hidden="1"/>
    </xf>
    <xf numFmtId="0" fontId="6" fillId="0" borderId="13" xfId="0" applyFont="1" applyBorder="1" applyProtection="1">
      <protection hidden="1"/>
    </xf>
    <xf numFmtId="0" fontId="3" fillId="0" borderId="59" xfId="0" applyFont="1" applyFill="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Fill="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Fill="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Border="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Fill="1" applyAlignment="1">
      <alignment horizontal="center"/>
    </xf>
    <xf numFmtId="0" fontId="6" fillId="0" borderId="0" xfId="0" applyFont="1" applyFill="1"/>
    <xf numFmtId="0" fontId="4" fillId="0" borderId="10" xfId="0" applyFont="1" applyFill="1" applyBorder="1" applyAlignment="1">
      <alignment horizontal="center"/>
    </xf>
    <xf numFmtId="0" fontId="3" fillId="0" borderId="0" xfId="0" applyFont="1" applyFill="1" applyAlignment="1">
      <alignment horizontal="center"/>
    </xf>
    <xf numFmtId="0" fontId="3" fillId="0" borderId="0" xfId="0" applyFont="1" applyFill="1" applyAlignment="1"/>
    <xf numFmtId="0" fontId="3" fillId="0" borderId="0" xfId="0" applyFont="1" applyFill="1" applyAlignment="1">
      <alignment wrapText="1"/>
    </xf>
    <xf numFmtId="0" fontId="0" fillId="0" borderId="0" xfId="0" applyBorder="1"/>
    <xf numFmtId="0" fontId="0" fillId="27" borderId="0" xfId="0" applyFill="1"/>
    <xf numFmtId="0" fontId="3" fillId="0" borderId="0" xfId="0" applyFont="1" applyFill="1" applyBorder="1" applyAlignment="1" applyProtection="1">
      <alignment horizontal="center"/>
    </xf>
    <xf numFmtId="0" fontId="3" fillId="0" borderId="0" xfId="0" applyFont="1" applyBorder="1" applyAlignment="1">
      <alignment horizontal="center"/>
    </xf>
    <xf numFmtId="0" fontId="3" fillId="27" borderId="0" xfId="0" applyFont="1" applyFill="1" applyBorder="1"/>
    <xf numFmtId="0" fontId="4" fillId="27" borderId="10" xfId="0" applyFont="1" applyFill="1" applyBorder="1" applyAlignment="1">
      <alignment horizontal="center"/>
    </xf>
    <xf numFmtId="0" fontId="0" fillId="28" borderId="0" xfId="0" applyFill="1"/>
    <xf numFmtId="0" fontId="4" fillId="0" borderId="0" xfId="0" applyFont="1" applyAlignment="1">
      <alignment horizontal="center"/>
    </xf>
    <xf numFmtId="0" fontId="3" fillId="28" borderId="0" xfId="0" applyFont="1" applyFill="1" applyBorder="1"/>
    <xf numFmtId="0" fontId="14" fillId="0" borderId="0" xfId="0" applyFont="1"/>
    <xf numFmtId="0" fontId="14" fillId="0" borderId="0" xfId="0" applyFont="1" applyFill="1" applyAlignment="1"/>
    <xf numFmtId="0" fontId="14" fillId="0" borderId="0" xfId="0" applyFont="1" applyFill="1"/>
    <xf numFmtId="0" fontId="14" fillId="0" borderId="0" xfId="0" applyFont="1" applyFill="1" applyAlignment="1">
      <alignment wrapText="1"/>
    </xf>
    <xf numFmtId="0" fontId="3" fillId="24" borderId="0" xfId="0" applyFont="1" applyFill="1" applyAlignment="1"/>
    <xf numFmtId="0" fontId="3" fillId="0" borderId="10" xfId="0" applyFont="1" applyFill="1" applyBorder="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Border="1"/>
    <xf numFmtId="0" fontId="4" fillId="0" borderId="0" xfId="0" applyFont="1" applyFill="1" applyBorder="1" applyAlignment="1" applyProtection="1">
      <alignment horizontal="center"/>
    </xf>
    <xf numFmtId="0" fontId="3" fillId="0" borderId="0" xfId="0" applyFont="1" applyFill="1" applyBorder="1" applyProtection="1"/>
    <xf numFmtId="0" fontId="4" fillId="0" borderId="0" xfId="0" applyFont="1" applyFill="1" applyBorder="1" applyAlignment="1" applyProtection="1">
      <alignment horizontal="left"/>
    </xf>
    <xf numFmtId="0" fontId="16" fillId="0" borderId="0" xfId="0" applyFont="1"/>
    <xf numFmtId="0" fontId="3" fillId="0" borderId="0" xfId="0" applyFont="1" applyBorder="1" applyAlignment="1">
      <alignment horizontal="left"/>
    </xf>
    <xf numFmtId="1" fontId="3" fillId="0" borderId="0" xfId="0" applyNumberFormat="1" applyFont="1"/>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37" applyNumberFormat="1" applyFont="1" applyProtection="1">
      <protection hidden="1"/>
    </xf>
    <xf numFmtId="0" fontId="3" fillId="0" borderId="0" xfId="53" applyFont="1" applyAlignment="1">
      <alignment horizontal="center"/>
    </xf>
    <xf numFmtId="0" fontId="3" fillId="0" borderId="0" xfId="53" applyFont="1"/>
    <xf numFmtId="0" fontId="3" fillId="0" borderId="0" xfId="53" applyFont="1" applyBorder="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3" fillId="0" borderId="0" xfId="53" applyFont="1" applyBorder="1" applyAlignment="1">
      <alignment horizontal="center"/>
    </xf>
    <xf numFmtId="0" fontId="4" fillId="0" borderId="10" xfId="53" applyFont="1" applyBorder="1"/>
    <xf numFmtId="0" fontId="3" fillId="0" borderId="50" xfId="53" applyFont="1" applyBorder="1"/>
    <xf numFmtId="0" fontId="3" fillId="0" borderId="10" xfId="53" quotePrefix="1" applyFont="1" applyFill="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Fill="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applyProtection="1"/>
    <xf numFmtId="0" fontId="3" fillId="0" borderId="19" xfId="0" applyFont="1" applyBorder="1" applyAlignment="1" applyProtection="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0" fontId="5" fillId="0" borderId="0" xfId="0" applyFont="1" applyBorder="1"/>
    <xf numFmtId="165" fontId="5" fillId="0" borderId="0" xfId="0" applyNumberFormat="1" applyFont="1" applyBorder="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Fill="1" applyBorder="1" applyAlignment="1">
      <alignment horizontal="center"/>
    </xf>
    <xf numFmtId="0" fontId="4" fillId="0" borderId="14" xfId="0" applyFont="1" applyFill="1" applyBorder="1" applyAlignment="1">
      <alignment horizontal="center"/>
    </xf>
    <xf numFmtId="0" fontId="4" fillId="0" borderId="75" xfId="0" applyFont="1" applyFill="1" applyBorder="1"/>
    <xf numFmtId="0" fontId="14" fillId="0" borderId="0" xfId="0" applyFont="1" applyAlignment="1"/>
    <xf numFmtId="0" fontId="2" fillId="0" borderId="67" xfId="0" applyFont="1" applyBorder="1"/>
    <xf numFmtId="0" fontId="4" fillId="0" borderId="46" xfId="0" applyFont="1" applyBorder="1" applyAlignment="1">
      <alignment horizontal="center"/>
    </xf>
    <xf numFmtId="0" fontId="4" fillId="0" borderId="76" xfId="0" applyFont="1" applyFill="1" applyBorder="1" applyAlignment="1">
      <alignment horizontal="center"/>
    </xf>
    <xf numFmtId="0" fontId="4" fillId="0" borderId="25" xfId="0" applyFont="1" applyFill="1" applyBorder="1" applyAlignment="1">
      <alignment horizontal="center"/>
    </xf>
    <xf numFmtId="0" fontId="3" fillId="0" borderId="13" xfId="0" quotePrefix="1" applyFont="1" applyFill="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13" xfId="53" applyFont="1" applyFill="1" applyBorder="1"/>
    <xf numFmtId="0" fontId="14" fillId="0" borderId="0" xfId="0" applyFont="1" applyBorder="1"/>
    <xf numFmtId="0" fontId="3" fillId="0" borderId="42" xfId="0" applyFont="1" applyFill="1" applyBorder="1" applyAlignment="1" applyProtection="1">
      <alignment horizontal="left"/>
    </xf>
    <xf numFmtId="0" fontId="0" fillId="0" borderId="34" xfId="0" applyBorder="1" applyAlignment="1">
      <alignment horizontal="center"/>
    </xf>
    <xf numFmtId="0" fontId="3" fillId="0" borderId="0" xfId="0" applyFont="1" applyBorder="1" applyAlignment="1"/>
    <xf numFmtId="0" fontId="3" fillId="0" borderId="0" xfId="39" applyFont="1" applyProtection="1"/>
    <xf numFmtId="0" fontId="3" fillId="0" borderId="0" xfId="39" applyFont="1" applyAlignment="1" applyProtection="1">
      <alignment horizontal="center"/>
    </xf>
    <xf numFmtId="0" fontId="4" fillId="0" borderId="50" xfId="39" applyFont="1" applyBorder="1" applyProtection="1"/>
    <xf numFmtId="0" fontId="5" fillId="0" borderId="0" xfId="0" applyFont="1" applyProtection="1"/>
    <xf numFmtId="0" fontId="4" fillId="0" borderId="0" xfId="39" applyFont="1" applyProtection="1"/>
    <xf numFmtId="0" fontId="4" fillId="0" borderId="0" xfId="0" applyFont="1" applyProtection="1"/>
    <xf numFmtId="0" fontId="4" fillId="0" borderId="0" xfId="39" applyFont="1" applyAlignment="1" applyProtection="1">
      <alignment horizontal="center"/>
    </xf>
    <xf numFmtId="0" fontId="4" fillId="0" borderId="47" xfId="39" applyFont="1" applyBorder="1" applyProtection="1"/>
    <xf numFmtId="0" fontId="4" fillId="0" borderId="23" xfId="39" applyFont="1" applyBorder="1" applyProtection="1"/>
    <xf numFmtId="0" fontId="4" fillId="0" borderId="46" xfId="39" applyFont="1" applyBorder="1" applyAlignment="1" applyProtection="1">
      <alignment horizontal="center"/>
    </xf>
    <xf numFmtId="0" fontId="4" fillId="0" borderId="48" xfId="39" applyFont="1" applyBorder="1" applyAlignment="1" applyProtection="1">
      <alignment horizontal="left"/>
    </xf>
    <xf numFmtId="0" fontId="4" fillId="0" borderId="48" xfId="39" applyFont="1" applyBorder="1" applyProtection="1"/>
    <xf numFmtId="0" fontId="4" fillId="0" borderId="41" xfId="39" applyFont="1" applyBorder="1" applyProtection="1"/>
    <xf numFmtId="0" fontId="4" fillId="0" borderId="77" xfId="39" applyFont="1" applyBorder="1" applyProtection="1"/>
    <xf numFmtId="0" fontId="4" fillId="0" borderId="78" xfId="39" applyFont="1" applyBorder="1" applyProtection="1"/>
    <xf numFmtId="0" fontId="4" fillId="0" borderId="13" xfId="39" applyFont="1" applyBorder="1" applyAlignment="1" applyProtection="1">
      <alignment horizontal="center"/>
    </xf>
    <xf numFmtId="0" fontId="4" fillId="0" borderId="48" xfId="39" applyFont="1" applyBorder="1" applyAlignment="1" applyProtection="1">
      <alignment horizontal="center"/>
    </xf>
    <xf numFmtId="0" fontId="4" fillId="0" borderId="0" xfId="0" applyFont="1" applyAlignment="1" applyProtection="1">
      <alignment horizontal="center" vertical="center" wrapText="1"/>
    </xf>
    <xf numFmtId="0" fontId="4" fillId="0" borderId="53" xfId="39" applyFont="1" applyBorder="1" applyAlignment="1" applyProtection="1">
      <alignment horizontal="center" vertical="center" wrapText="1"/>
    </xf>
    <xf numFmtId="0" fontId="3" fillId="0" borderId="20" xfId="0" applyFont="1" applyFill="1" applyBorder="1" applyProtection="1"/>
    <xf numFmtId="0" fontId="6" fillId="0" borderId="0" xfId="0" applyFont="1" applyFill="1" applyBorder="1" applyAlignment="1">
      <alignment horizontal="left" vertical="center"/>
    </xf>
    <xf numFmtId="0" fontId="20" fillId="0" borderId="0" xfId="0" applyFont="1" applyFill="1" applyBorder="1" applyAlignment="1">
      <alignment horizontal="left" vertical="center"/>
    </xf>
    <xf numFmtId="0" fontId="20" fillId="0" borderId="69" xfId="0" applyFont="1" applyFill="1" applyBorder="1" applyAlignment="1">
      <alignment horizontal="left" vertical="center"/>
    </xf>
    <xf numFmtId="0" fontId="3" fillId="0" borderId="41" xfId="39" applyFont="1" applyBorder="1" applyProtection="1"/>
    <xf numFmtId="0" fontId="3" fillId="24" borderId="10" xfId="39" applyFont="1" applyFill="1" applyBorder="1" applyProtection="1"/>
    <xf numFmtId="0" fontId="3" fillId="24" borderId="50" xfId="39" applyFont="1" applyFill="1" applyBorder="1" applyProtection="1"/>
    <xf numFmtId="0" fontId="3" fillId="24" borderId="48" xfId="39" applyFont="1" applyFill="1" applyBorder="1" applyProtection="1"/>
    <xf numFmtId="0" fontId="3" fillId="24" borderId="41" xfId="39" applyFont="1" applyFill="1" applyBorder="1" applyProtection="1"/>
    <xf numFmtId="0" fontId="3" fillId="0" borderId="0" xfId="39" applyFont="1" applyBorder="1" applyProtection="1"/>
    <xf numFmtId="0" fontId="3" fillId="0" borderId="25" xfId="39" applyFont="1" applyBorder="1" applyAlignment="1" applyProtection="1">
      <alignment horizontal="center"/>
    </xf>
    <xf numFmtId="0" fontId="3" fillId="0" borderId="0" xfId="48" applyFont="1" applyProtection="1"/>
    <xf numFmtId="0" fontId="4" fillId="0" borderId="0" xfId="48" applyFont="1" applyProtection="1"/>
    <xf numFmtId="0" fontId="3" fillId="0" borderId="43" xfId="0" applyNumberFormat="1" applyFont="1" applyBorder="1" applyAlignment="1" applyProtection="1">
      <alignment horizontal="center"/>
      <protection hidden="1"/>
    </xf>
    <xf numFmtId="0" fontId="4" fillId="0" borderId="79" xfId="0" applyNumberFormat="1" applyFont="1" applyBorder="1" applyAlignment="1" applyProtection="1">
      <alignment horizontal="center"/>
      <protection hidden="1"/>
    </xf>
    <xf numFmtId="0" fontId="3" fillId="0" borderId="34" xfId="0" applyNumberFormat="1" applyFont="1" applyBorder="1" applyAlignment="1" applyProtection="1">
      <alignment horizontal="center"/>
      <protection hidden="1"/>
    </xf>
    <xf numFmtId="0" fontId="5" fillId="0" borderId="70" xfId="0" applyNumberFormat="1" applyFont="1" applyBorder="1" applyAlignment="1" applyProtection="1">
      <alignment horizontal="center"/>
      <protection hidden="1"/>
    </xf>
    <xf numFmtId="0" fontId="5" fillId="0" borderId="80" xfId="0" applyNumberFormat="1"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Fill="1" applyBorder="1" applyAlignment="1" applyProtection="1">
      <alignment wrapText="1"/>
      <protection hidden="1"/>
    </xf>
    <xf numFmtId="0" fontId="3" fillId="0" borderId="32" xfId="0" applyFont="1" applyFill="1" applyBorder="1" applyAlignment="1" applyProtection="1">
      <alignment horizontal="center"/>
    </xf>
    <xf numFmtId="0" fontId="3" fillId="0" borderId="42" xfId="0" applyFont="1" applyBorder="1" applyAlignment="1">
      <alignment horizontal="center"/>
    </xf>
    <xf numFmtId="0" fontId="3" fillId="0" borderId="34" xfId="0" applyFont="1" applyBorder="1"/>
    <xf numFmtId="0" fontId="3" fillId="0" borderId="13" xfId="0" applyNumberFormat="1" applyFont="1" applyBorder="1" applyAlignment="1" applyProtection="1">
      <alignment horizontal="right"/>
      <protection hidden="1"/>
    </xf>
    <xf numFmtId="0" fontId="14" fillId="0" borderId="0" xfId="0" applyFont="1" applyBorder="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NumberFormat="1" applyFont="1" applyBorder="1" applyAlignment="1" applyProtection="1">
      <alignment horizontal="center"/>
      <protection hidden="1"/>
    </xf>
    <xf numFmtId="0" fontId="3" fillId="27" borderId="10" xfId="0" applyFont="1" applyFill="1" applyBorder="1" applyProtection="1">
      <protection hidden="1"/>
    </xf>
    <xf numFmtId="0" fontId="3" fillId="0" borderId="81" xfId="0" applyFont="1" applyBorder="1" applyAlignment="1" applyProtection="1">
      <alignment horizontal="center"/>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applyBorder="1"/>
    <xf numFmtId="0" fontId="24" fillId="32" borderId="0" xfId="0" applyFont="1" applyFill="1" applyBorder="1" applyAlignment="1">
      <alignment horizontal="right"/>
    </xf>
    <xf numFmtId="0" fontId="24" fillId="32" borderId="62" xfId="0" applyFont="1" applyFill="1" applyBorder="1"/>
    <xf numFmtId="0" fontId="23" fillId="0" borderId="61" xfId="0" applyFont="1" applyBorder="1"/>
    <xf numFmtId="0" fontId="23" fillId="0" borderId="0" xfId="0" applyFont="1" applyBorder="1"/>
    <xf numFmtId="0" fontId="23" fillId="0" borderId="62" xfId="0" applyFont="1" applyBorder="1"/>
    <xf numFmtId="0" fontId="23" fillId="0" borderId="0" xfId="0" applyFont="1" applyBorder="1" applyAlignment="1">
      <alignment horizontal="center"/>
    </xf>
    <xf numFmtId="0" fontId="23" fillId="24" borderId="0" xfId="0" applyFont="1" applyFill="1" applyBorder="1"/>
    <xf numFmtId="0" fontId="23" fillId="0" borderId="63" xfId="0" applyFont="1" applyBorder="1"/>
    <xf numFmtId="0" fontId="23" fillId="0" borderId="11" xfId="0" applyFont="1" applyBorder="1"/>
    <xf numFmtId="0" fontId="23" fillId="0" borderId="64" xfId="0" applyFont="1" applyBorder="1"/>
    <xf numFmtId="0" fontId="3" fillId="0" borderId="0" xfId="0" applyFont="1" applyFill="1" applyBorder="1" applyAlignment="1">
      <alignment horizontal="center" vertical="center"/>
    </xf>
    <xf numFmtId="1" fontId="3" fillId="27" borderId="10" xfId="0" applyNumberFormat="1" applyFont="1" applyFill="1" applyBorder="1" applyProtection="1">
      <protection hidden="1"/>
    </xf>
    <xf numFmtId="0" fontId="4" fillId="0" borderId="70" xfId="0" applyNumberFormat="1" applyFont="1" applyBorder="1" applyAlignment="1" applyProtection="1">
      <alignment horizontal="center"/>
      <protection hidden="1"/>
    </xf>
    <xf numFmtId="0" fontId="5" fillId="0" borderId="60" xfId="0" applyNumberFormat="1" applyFont="1" applyBorder="1" applyAlignment="1">
      <alignment horizontal="center"/>
    </xf>
    <xf numFmtId="174" fontId="3" fillId="0" borderId="70" xfId="0" applyNumberFormat="1" applyFont="1" applyFill="1" applyBorder="1" applyAlignment="1" applyProtection="1">
      <alignment horizontal="right"/>
      <protection hidden="1"/>
    </xf>
    <xf numFmtId="0" fontId="3" fillId="0" borderId="0" xfId="49" applyFont="1" applyProtection="1"/>
    <xf numFmtId="0" fontId="4" fillId="0" borderId="0" xfId="49" applyFont="1" applyProtection="1"/>
    <xf numFmtId="0" fontId="4" fillId="0" borderId="85" xfId="49" applyFont="1" applyBorder="1" applyAlignment="1" applyProtection="1">
      <alignment horizontal="center" vertical="center" wrapText="1"/>
    </xf>
    <xf numFmtId="0" fontId="4" fillId="0" borderId="48" xfId="49" applyFont="1" applyBorder="1" applyAlignment="1" applyProtection="1">
      <alignment horizontal="center" vertical="center"/>
    </xf>
    <xf numFmtId="0" fontId="4" fillId="0" borderId="41" xfId="49" applyFont="1" applyBorder="1" applyAlignment="1" applyProtection="1">
      <alignment horizontal="center" vertical="center"/>
    </xf>
    <xf numFmtId="0" fontId="4" fillId="0" borderId="86" xfId="49" applyFont="1" applyBorder="1" applyAlignment="1" applyProtection="1">
      <alignment horizontal="center" vertical="center" wrapText="1"/>
    </xf>
    <xf numFmtId="0" fontId="3" fillId="0" borderId="10" xfId="53" applyFont="1" applyFill="1" applyBorder="1" applyAlignment="1">
      <alignment horizontal="center"/>
    </xf>
    <xf numFmtId="0" fontId="1" fillId="0" borderId="0" xfId="0" applyFont="1" applyFill="1"/>
    <xf numFmtId="0" fontId="3" fillId="0" borderId="0" xfId="0" applyFont="1" applyFill="1" applyBorder="1" applyAlignment="1">
      <alignment horizontal="left" indent="1"/>
    </xf>
    <xf numFmtId="0" fontId="5" fillId="0" borderId="0" xfId="0" applyFont="1" applyFill="1" applyBorder="1"/>
    <xf numFmtId="0" fontId="3" fillId="0" borderId="0" xfId="0" applyFont="1" applyFill="1" applyBorder="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4" fillId="0" borderId="0" xfId="0" applyFont="1" applyAlignment="1">
      <alignment horizontal="left"/>
    </xf>
    <xf numFmtId="0" fontId="3" fillId="0" borderId="0" xfId="0" applyFont="1" applyFill="1" applyProtection="1"/>
    <xf numFmtId="0" fontId="3" fillId="0" borderId="0" xfId="0" applyFont="1" applyFill="1" applyAlignment="1" applyProtection="1"/>
    <xf numFmtId="0" fontId="3" fillId="0" borderId="10" xfId="0" applyFont="1" applyBorder="1" applyAlignment="1" applyProtection="1">
      <alignment horizontal="center"/>
      <protection hidden="1"/>
    </xf>
    <xf numFmtId="0" fontId="3" fillId="30" borderId="0" xfId="0" applyFont="1" applyFill="1" applyBorder="1" applyProtection="1">
      <protection hidden="1"/>
    </xf>
    <xf numFmtId="0" fontId="3" fillId="27" borderId="0" xfId="0" applyFont="1" applyFill="1" applyBorder="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0" borderId="41" xfId="0" applyFont="1" applyFill="1" applyBorder="1" applyProtection="1">
      <protection hidden="1"/>
    </xf>
    <xf numFmtId="0" fontId="3" fillId="0" borderId="23" xfId="0" applyFont="1" applyFill="1" applyBorder="1" applyProtection="1">
      <protection hidden="1"/>
    </xf>
    <xf numFmtId="0" fontId="3" fillId="0" borderId="25" xfId="0" applyFont="1" applyFill="1" applyBorder="1" applyProtection="1">
      <protection hidden="1"/>
    </xf>
    <xf numFmtId="0" fontId="14" fillId="0" borderId="0" xfId="0" applyFont="1" applyFill="1" applyBorder="1" applyProtection="1">
      <protection hidden="1"/>
    </xf>
    <xf numFmtId="0" fontId="3" fillId="0" borderId="0" xfId="0" applyFont="1" applyFill="1" applyBorder="1" applyAlignment="1" applyProtection="1">
      <alignment horizontal="center"/>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applyBorder="1"/>
    <xf numFmtId="0" fontId="3" fillId="0" borderId="0" xfId="0" quotePrefix="1" applyFont="1" applyFill="1" applyBorder="1" applyProtection="1">
      <protection hidden="1"/>
    </xf>
    <xf numFmtId="0" fontId="14" fillId="0" borderId="0" xfId="0" applyFont="1" applyBorder="1" applyAlignment="1" applyProtection="1">
      <alignment horizontal="center"/>
      <protection hidden="1"/>
    </xf>
    <xf numFmtId="0" fontId="3" fillId="0" borderId="0" xfId="0" quotePrefix="1" applyFont="1" applyBorder="1" applyProtection="1">
      <protection hidden="1"/>
    </xf>
    <xf numFmtId="0" fontId="3" fillId="0" borderId="0" xfId="0" applyNumberFormat="1" applyFont="1"/>
    <xf numFmtId="0" fontId="5" fillId="0" borderId="0" xfId="0" applyFont="1" applyFill="1"/>
    <xf numFmtId="0" fontId="5" fillId="0" borderId="0" xfId="0" applyFont="1" applyFill="1" applyAlignment="1">
      <alignment horizontal="center"/>
    </xf>
    <xf numFmtId="0" fontId="5" fillId="0" borderId="0" xfId="0" applyFont="1" applyFill="1" applyAlignment="1">
      <alignment wrapText="1"/>
    </xf>
    <xf numFmtId="0" fontId="0" fillId="0" borderId="0" xfId="0" applyFill="1"/>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Fill="1" applyAlignment="1">
      <alignment vertical="center" wrapText="1"/>
    </xf>
    <xf numFmtId="0" fontId="27" fillId="0" borderId="0" xfId="0" applyFont="1" applyFill="1" applyProtection="1"/>
    <xf numFmtId="0" fontId="27" fillId="0" borderId="0" xfId="0" applyFont="1" applyFill="1"/>
    <xf numFmtId="0" fontId="27" fillId="28" borderId="0" xfId="51" applyFont="1" applyFill="1" applyAlignment="1">
      <alignment vertical="center" wrapText="1"/>
    </xf>
    <xf numFmtId="0" fontId="14" fillId="0" borderId="0" xfId="0" applyFont="1" applyFill="1" applyProtection="1"/>
    <xf numFmtId="0" fontId="5" fillId="0" borderId="0" xfId="0" applyFont="1" applyFill="1" applyAlignment="1">
      <alignment vertical="top" wrapText="1"/>
    </xf>
    <xf numFmtId="0" fontId="3" fillId="0" borderId="0" xfId="53" applyFont="1" applyFill="1" applyBorder="1"/>
    <xf numFmtId="0" fontId="3" fillId="0" borderId="0" xfId="53" applyFont="1" applyFill="1" applyBorder="1" applyAlignment="1">
      <alignment horizontal="center"/>
    </xf>
    <xf numFmtId="0" fontId="4" fillId="0" borderId="77" xfId="0" applyFont="1" applyFill="1" applyBorder="1" applyAlignment="1">
      <alignment horizontal="center"/>
    </xf>
    <xf numFmtId="0" fontId="3" fillId="27" borderId="0" xfId="37" applyFont="1" applyFill="1" applyProtection="1">
      <protection hidden="1"/>
    </xf>
    <xf numFmtId="0" fontId="4" fillId="0" borderId="91" xfId="0" applyFont="1" applyFill="1" applyBorder="1" applyAlignment="1">
      <alignment horizontal="center"/>
    </xf>
    <xf numFmtId="0" fontId="4" fillId="0" borderId="92" xfId="0" applyFont="1" applyFill="1" applyBorder="1" applyAlignment="1">
      <alignment horizontal="center"/>
    </xf>
    <xf numFmtId="0" fontId="3" fillId="0" borderId="70" xfId="0" applyNumberFormat="1" applyFont="1" applyBorder="1" applyAlignment="1" applyProtection="1">
      <alignment horizontal="center"/>
      <protection hidden="1"/>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pplyProtection="1">
      <alignment horizontal="center" vertical="center" wrapText="1"/>
    </xf>
    <xf numFmtId="0" fontId="3" fillId="0" borderId="61" xfId="0" applyFont="1" applyBorder="1"/>
    <xf numFmtId="0" fontId="3" fillId="0" borderId="0" xfId="0" applyFont="1" applyFill="1" applyBorder="1" applyAlignment="1" applyProtection="1">
      <alignment horizontal="left"/>
    </xf>
    <xf numFmtId="0" fontId="0" fillId="0" borderId="0" xfId="0" applyBorder="1"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1" fontId="6" fillId="0" borderId="0" xfId="0" applyNumberFormat="1" applyFont="1" applyBorder="1" applyProtection="1">
      <protection hidden="1"/>
    </xf>
    <xf numFmtId="0" fontId="3" fillId="0" borderId="0" xfId="0" applyNumberFormat="1" applyFont="1" applyFill="1" applyBorder="1" applyAlignment="1" applyProtection="1">
      <alignment horizontal="center"/>
      <protection hidden="1"/>
    </xf>
    <xf numFmtId="0" fontId="3" fillId="0" borderId="0" xfId="0" applyFont="1" applyBorder="1" applyAlignment="1" applyProtection="1">
      <alignment wrapText="1"/>
      <protection hidden="1"/>
    </xf>
    <xf numFmtId="0" fontId="4" fillId="0" borderId="0" xfId="0" applyFont="1" applyFill="1" applyBorder="1" applyAlignment="1" applyProtection="1">
      <alignment horizontal="center"/>
      <protection hidden="1"/>
    </xf>
    <xf numFmtId="0" fontId="3" fillId="27" borderId="10" xfId="0" applyFont="1" applyFill="1" applyBorder="1" applyAlignment="1" applyProtection="1">
      <alignment horizontal="center"/>
      <protection hidden="1"/>
    </xf>
    <xf numFmtId="0" fontId="3" fillId="0" borderId="23" xfId="0" applyFont="1" applyFill="1" applyBorder="1" applyAlignment="1" applyProtection="1">
      <protection hidden="1"/>
    </xf>
    <xf numFmtId="0" fontId="3" fillId="26" borderId="69" xfId="0" applyFont="1" applyFill="1" applyBorder="1" applyProtection="1"/>
    <xf numFmtId="0" fontId="3" fillId="26" borderId="84" xfId="0" applyFont="1" applyFill="1" applyBorder="1" applyProtection="1"/>
    <xf numFmtId="0" fontId="6" fillId="26" borderId="63" xfId="0" applyFont="1" applyFill="1" applyBorder="1" applyProtection="1"/>
    <xf numFmtId="0" fontId="3" fillId="26" borderId="59" xfId="0" applyFont="1" applyFill="1" applyBorder="1" applyProtection="1"/>
    <xf numFmtId="0" fontId="50" fillId="26" borderId="68" xfId="0" applyFont="1" applyFill="1" applyBorder="1" applyProtection="1"/>
    <xf numFmtId="0" fontId="3" fillId="26" borderId="68" xfId="0" applyFont="1" applyFill="1" applyBorder="1" applyProtection="1"/>
    <xf numFmtId="0" fontId="3" fillId="26" borderId="60" xfId="0" applyFont="1" applyFill="1" applyBorder="1" applyProtection="1"/>
    <xf numFmtId="0" fontId="3" fillId="26" borderId="94" xfId="0" applyFont="1" applyFill="1" applyBorder="1" applyProtection="1"/>
    <xf numFmtId="0" fontId="3" fillId="25" borderId="61" xfId="0" applyFont="1" applyFill="1" applyBorder="1" applyAlignment="1" applyProtection="1">
      <alignment horizontal="left"/>
    </xf>
    <xf numFmtId="0" fontId="3" fillId="24" borderId="61" xfId="0" applyNumberFormat="1" applyFont="1" applyFill="1" applyBorder="1" applyProtection="1">
      <protection locked="0"/>
    </xf>
    <xf numFmtId="0" fontId="3" fillId="25" borderId="95" xfId="0" applyFont="1" applyFill="1" applyBorder="1" applyProtection="1"/>
    <xf numFmtId="0" fontId="4" fillId="25" borderId="96" xfId="0" applyNumberFormat="1" applyFont="1" applyFill="1" applyBorder="1" applyProtection="1"/>
    <xf numFmtId="0" fontId="3" fillId="25" borderId="62" xfId="0" applyFont="1" applyFill="1" applyBorder="1" applyProtection="1"/>
    <xf numFmtId="0" fontId="3" fillId="24" borderId="81" xfId="0" applyNumberFormat="1" applyFont="1" applyFill="1" applyBorder="1" applyProtection="1">
      <protection locked="0"/>
    </xf>
    <xf numFmtId="0" fontId="4" fillId="25" borderId="97" xfId="0" applyNumberFormat="1" applyFont="1" applyFill="1" applyBorder="1" applyProtection="1"/>
    <xf numFmtId="0" fontId="3" fillId="25" borderId="63" xfId="0" applyFont="1" applyFill="1" applyBorder="1" applyAlignment="1" applyProtection="1">
      <alignment horizontal="left"/>
    </xf>
    <xf numFmtId="0" fontId="3" fillId="24" borderId="63" xfId="0" applyNumberFormat="1" applyFont="1" applyFill="1" applyBorder="1" applyProtection="1">
      <protection locked="0"/>
    </xf>
    <xf numFmtId="0" fontId="3" fillId="25" borderId="98" xfId="0" applyFont="1" applyFill="1" applyBorder="1" applyProtection="1"/>
    <xf numFmtId="0" fontId="4" fillId="25" borderId="99" xfId="0" applyNumberFormat="1" applyFont="1" applyFill="1" applyBorder="1" applyProtection="1"/>
    <xf numFmtId="0" fontId="3" fillId="25" borderId="64" xfId="0" applyFont="1" applyFill="1" applyBorder="1" applyProtection="1"/>
    <xf numFmtId="0" fontId="3" fillId="24" borderId="82" xfId="0" applyNumberFormat="1" applyFont="1" applyFill="1" applyBorder="1" applyProtection="1">
      <protection locked="0"/>
    </xf>
    <xf numFmtId="0" fontId="0" fillId="0" borderId="0" xfId="0" applyProtection="1"/>
    <xf numFmtId="0" fontId="3" fillId="25" borderId="0" xfId="0" applyFont="1" applyFill="1" applyBorder="1" applyProtection="1"/>
    <xf numFmtId="0" fontId="3" fillId="25" borderId="100" xfId="0" applyFont="1" applyFill="1" applyBorder="1" applyProtection="1"/>
    <xf numFmtId="0" fontId="3" fillId="25" borderId="101" xfId="0" applyFont="1" applyFill="1" applyBorder="1" applyProtection="1"/>
    <xf numFmtId="0" fontId="3" fillId="25" borderId="11" xfId="0" applyFont="1" applyFill="1" applyBorder="1" applyProtection="1"/>
    <xf numFmtId="0" fontId="3" fillId="25" borderId="102" xfId="0" applyFont="1" applyFill="1" applyBorder="1" applyProtection="1"/>
    <xf numFmtId="0" fontId="4" fillId="0" borderId="0" xfId="0" applyFont="1" applyAlignment="1" applyProtection="1">
      <alignment horizontal="center"/>
    </xf>
    <xf numFmtId="0" fontId="3" fillId="0" borderId="0" xfId="0" applyFont="1" applyFill="1" applyAlignment="1">
      <alignment vertical="top"/>
    </xf>
    <xf numFmtId="0" fontId="27" fillId="0" borderId="0" xfId="51" applyFont="1" applyFill="1" applyAlignment="1">
      <alignment vertical="top" wrapText="1"/>
    </xf>
    <xf numFmtId="0" fontId="14" fillId="0" borderId="0" xfId="0" applyFont="1" applyFill="1" applyAlignment="1">
      <alignment vertical="top"/>
    </xf>
    <xf numFmtId="0" fontId="27" fillId="0" borderId="0" xfId="0" applyFont="1" applyFill="1" applyAlignment="1">
      <alignment vertical="top"/>
    </xf>
    <xf numFmtId="0" fontId="3" fillId="0" borderId="0" xfId="0" applyFont="1" applyFill="1" applyAlignment="1">
      <alignment vertical="top" wrapText="1"/>
    </xf>
    <xf numFmtId="0" fontId="27" fillId="0" borderId="0" xfId="0" applyFont="1" applyFill="1" applyAlignment="1">
      <alignment vertical="top" wrapText="1"/>
    </xf>
    <xf numFmtId="0" fontId="14" fillId="0" borderId="0" xfId="0" applyFont="1" applyFill="1" applyAlignment="1">
      <alignment vertical="top" wrapText="1"/>
    </xf>
    <xf numFmtId="0" fontId="27" fillId="0" borderId="0" xfId="0" applyFont="1"/>
    <xf numFmtId="0" fontId="3" fillId="0" borderId="0" xfId="0" applyFont="1" applyFill="1" applyAlignment="1" applyProtection="1">
      <alignment vertical="top"/>
    </xf>
    <xf numFmtId="0" fontId="4" fillId="0" borderId="0" xfId="0" applyFont="1" applyFill="1" applyAlignment="1">
      <alignment vertical="top"/>
    </xf>
    <xf numFmtId="0" fontId="4" fillId="0" borderId="0" xfId="0" applyFont="1" applyFill="1" applyAlignment="1">
      <alignment horizontal="center" vertical="top"/>
    </xf>
    <xf numFmtId="0" fontId="27" fillId="0" borderId="0" xfId="0" applyFont="1" applyAlignment="1">
      <alignment wrapText="1"/>
    </xf>
    <xf numFmtId="0" fontId="14" fillId="0" borderId="0" xfId="0" applyFont="1" applyAlignment="1">
      <alignment wrapText="1"/>
    </xf>
    <xf numFmtId="0" fontId="27" fillId="0" borderId="0" xfId="0" applyFont="1" applyFill="1" applyAlignment="1">
      <alignment wrapText="1"/>
    </xf>
    <xf numFmtId="0" fontId="3" fillId="0" borderId="0" xfId="0" applyFont="1" applyFill="1" applyAlignment="1">
      <alignment horizontal="center" vertical="top"/>
    </xf>
    <xf numFmtId="0" fontId="27" fillId="0" borderId="0" xfId="0" applyFont="1" applyFill="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Fill="1" applyBorder="1" applyAlignment="1">
      <alignment vertical="top"/>
    </xf>
    <xf numFmtId="0" fontId="27" fillId="0" borderId="0" xfId="0" applyFont="1" applyBorder="1"/>
    <xf numFmtId="0" fontId="3" fillId="0" borderId="0" xfId="0" applyFont="1" applyFill="1" applyAlignment="1">
      <alignment horizontal="left" vertical="top"/>
    </xf>
    <xf numFmtId="0" fontId="27" fillId="0" borderId="0" xfId="0" applyFont="1" applyFill="1" applyBorder="1" applyAlignment="1">
      <alignment vertical="top"/>
    </xf>
    <xf numFmtId="0" fontId="14" fillId="0" borderId="0" xfId="0" applyFont="1" applyFill="1" applyBorder="1" applyAlignment="1">
      <alignment vertical="top"/>
    </xf>
    <xf numFmtId="0" fontId="27" fillId="0" borderId="0" xfId="0" applyFont="1" applyBorder="1" applyAlignment="1">
      <alignment horizontal="left" indent="1"/>
    </xf>
    <xf numFmtId="0" fontId="27" fillId="0" borderId="0" xfId="0" applyFont="1" applyBorder="1" applyAlignment="1"/>
    <xf numFmtId="0" fontId="14" fillId="0" borderId="0" xfId="0" applyFont="1" applyBorder="1" applyAlignment="1"/>
    <xf numFmtId="0" fontId="3" fillId="0" borderId="0" xfId="0" applyFont="1" applyBorder="1" applyAlignment="1">
      <alignment wrapText="1"/>
    </xf>
    <xf numFmtId="0" fontId="11" fillId="0" borderId="0" xfId="0" applyFont="1" applyAlignment="1">
      <alignment vertical="top"/>
    </xf>
    <xf numFmtId="0" fontId="28" fillId="0" borderId="0" xfId="51" applyFont="1" applyFill="1" applyAlignment="1"/>
    <xf numFmtId="0" fontId="14" fillId="0" borderId="10" xfId="0" applyFont="1" applyFill="1" applyBorder="1"/>
    <xf numFmtId="0" fontId="14" fillId="0" borderId="0" xfId="0" applyFont="1" applyFill="1" applyAlignment="1">
      <alignment horizontal="center"/>
    </xf>
    <xf numFmtId="0" fontId="14" fillId="0" borderId="10" xfId="0" applyFont="1" applyFill="1" applyBorder="1" applyAlignment="1">
      <alignment horizontal="center"/>
    </xf>
    <xf numFmtId="0" fontId="14" fillId="0" borderId="24" xfId="0" applyFont="1" applyFill="1" applyBorder="1" applyAlignment="1">
      <alignment horizontal="center"/>
    </xf>
    <xf numFmtId="0" fontId="14" fillId="0" borderId="0" xfId="0" applyFont="1" applyFill="1" applyBorder="1" applyAlignment="1">
      <alignment horizontal="center"/>
    </xf>
    <xf numFmtId="0" fontId="52" fillId="0" borderId="0" xfId="0" applyFont="1" applyFill="1"/>
    <xf numFmtId="0" fontId="27" fillId="0" borderId="0" xfId="0" applyFont="1" applyFill="1" applyAlignment="1">
      <alignment horizontal="center"/>
    </xf>
    <xf numFmtId="0" fontId="53" fillId="0" borderId="0" xfId="0" applyFont="1" applyFill="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Fill="1" applyAlignment="1">
      <alignment vertical="top"/>
    </xf>
    <xf numFmtId="0" fontId="5" fillId="0" borderId="0" xfId="0" applyFont="1" applyAlignment="1">
      <alignment vertical="top"/>
    </xf>
    <xf numFmtId="0" fontId="5" fillId="0" borderId="0" xfId="0" applyFont="1" applyAlignment="1">
      <alignment vertical="top" wrapText="1"/>
    </xf>
    <xf numFmtId="0" fontId="5" fillId="0" borderId="0" xfId="0" applyFont="1" applyFill="1" applyAlignment="1" applyProtection="1">
      <alignment vertical="top"/>
    </xf>
    <xf numFmtId="0" fontId="5" fillId="0" borderId="0" xfId="0" applyFont="1" applyAlignment="1">
      <alignment wrapText="1"/>
    </xf>
    <xf numFmtId="0" fontId="5" fillId="0" borderId="0" xfId="0" applyFont="1" applyFill="1" applyAlignment="1">
      <alignment horizontal="center" vertical="top"/>
    </xf>
    <xf numFmtId="0" fontId="5" fillId="0" borderId="0" xfId="0" quotePrefix="1" applyFont="1" applyAlignment="1">
      <alignment wrapText="1"/>
    </xf>
    <xf numFmtId="0" fontId="52" fillId="0" borderId="0" xfId="0" applyFont="1" applyFill="1" applyAlignment="1">
      <alignment vertical="top"/>
    </xf>
    <xf numFmtId="0" fontId="14" fillId="0" borderId="0" xfId="0" applyFont="1" applyFill="1" applyAlignment="1">
      <alignment horizontal="center" vertical="top"/>
    </xf>
    <xf numFmtId="0" fontId="3" fillId="0" borderId="0" xfId="0" applyFont="1" applyBorder="1" applyAlignment="1">
      <alignment vertical="top"/>
    </xf>
    <xf numFmtId="0" fontId="27" fillId="0" borderId="0" xfId="0" applyFont="1" applyBorder="1" applyAlignment="1">
      <alignment vertical="top"/>
    </xf>
    <xf numFmtId="0" fontId="14" fillId="0" borderId="0" xfId="0" applyFont="1" applyBorder="1" applyAlignment="1">
      <alignment vertical="top"/>
    </xf>
    <xf numFmtId="0" fontId="3" fillId="0" borderId="0" xfId="0" applyFont="1" applyFill="1" applyBorder="1" applyAlignment="1">
      <alignment vertical="top" wrapText="1"/>
    </xf>
    <xf numFmtId="0" fontId="27" fillId="0" borderId="0" xfId="0" applyFont="1" applyFill="1" applyBorder="1" applyAlignment="1">
      <alignment vertical="top" wrapText="1"/>
    </xf>
    <xf numFmtId="0" fontId="14" fillId="0" borderId="0" xfId="0" applyFont="1" applyFill="1" applyBorder="1" applyAlignment="1">
      <alignment vertical="top" wrapText="1"/>
    </xf>
    <xf numFmtId="0" fontId="26" fillId="0" borderId="0" xfId="0" applyFont="1"/>
    <xf numFmtId="0" fontId="3" fillId="0" borderId="15" xfId="0" applyNumberFormat="1" applyFont="1" applyBorder="1" applyAlignment="1" applyProtection="1">
      <alignment horizontal="right"/>
      <protection hidden="1"/>
    </xf>
    <xf numFmtId="174" fontId="3" fillId="0" borderId="80" xfId="0" applyNumberFormat="1" applyFont="1" applyFill="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Fill="1" applyBorder="1"/>
    <xf numFmtId="0" fontId="3" fillId="0" borderId="10" xfId="47" applyFont="1" applyFill="1" applyBorder="1"/>
    <xf numFmtId="0" fontId="3" fillId="0" borderId="10" xfId="47" applyNumberFormat="1" applyFont="1" applyFill="1" applyBorder="1"/>
    <xf numFmtId="166" fontId="3" fillId="0" borderId="10" xfId="47" applyNumberFormat="1" applyFont="1" applyFill="1" applyBorder="1"/>
    <xf numFmtId="0" fontId="3" fillId="0" borderId="10" xfId="0" applyNumberFormat="1" applyFont="1" applyFill="1" applyBorder="1" applyProtection="1">
      <protection hidden="1"/>
    </xf>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applyProtection="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applyProtection="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0"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14" fillId="0" borderId="0" xfId="0" applyFont="1" applyAlignment="1">
      <alignment vertical="top" wrapText="1"/>
    </xf>
    <xf numFmtId="0" fontId="56" fillId="0" borderId="0" xfId="0" applyFont="1"/>
    <xf numFmtId="0" fontId="3" fillId="0" borderId="0" xfId="0" applyFont="1" applyAlignment="1">
      <alignment vertical="top" wrapText="1"/>
    </xf>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0" xfId="0" applyFont="1" applyFill="1" applyBorder="1" applyAlignment="1">
      <alignment horizontal="center"/>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Fill="1" applyAlignment="1">
      <alignment vertical="top"/>
    </xf>
    <xf numFmtId="0" fontId="62" fillId="0" borderId="0" xfId="0" applyFont="1" applyFill="1" applyAlignment="1">
      <alignment vertical="top"/>
    </xf>
    <xf numFmtId="0" fontId="63" fillId="0" borderId="0" xfId="0" applyFont="1" applyFill="1" applyAlignment="1">
      <alignment vertical="top"/>
    </xf>
    <xf numFmtId="0" fontId="64" fillId="0" borderId="0" xfId="0" applyFont="1" applyFill="1" applyAlignment="1">
      <alignment vertical="top"/>
    </xf>
    <xf numFmtId="0" fontId="63" fillId="0" borderId="0" xfId="0" applyFont="1" applyFill="1" applyAlignment="1"/>
    <xf numFmtId="0" fontId="62" fillId="0" borderId="0" xfId="0" applyFont="1" applyFill="1"/>
    <xf numFmtId="0" fontId="2" fillId="0" borderId="0" xfId="0" applyFont="1" applyFill="1"/>
    <xf numFmtId="0" fontId="66" fillId="0" borderId="0" xfId="0" applyFont="1"/>
    <xf numFmtId="0" fontId="66" fillId="0" borderId="0" xfId="0" quotePrefix="1" applyFont="1"/>
    <xf numFmtId="0" fontId="66" fillId="0" borderId="0" xfId="0" applyFont="1" applyFill="1" applyBorder="1" applyAlignment="1">
      <alignment horizontal="center"/>
    </xf>
    <xf numFmtId="0" fontId="66" fillId="0" borderId="0" xfId="46" applyFont="1"/>
    <xf numFmtId="0" fontId="66" fillId="0" borderId="0" xfId="0" applyNumberFormat="1" applyFont="1"/>
    <xf numFmtId="0" fontId="31" fillId="0" borderId="64" xfId="0" applyFont="1" applyBorder="1" applyProtection="1">
      <protection locked="0"/>
    </xf>
    <xf numFmtId="0" fontId="3" fillId="0" borderId="0" xfId="46" applyFont="1" applyAlignment="1">
      <alignment vertical="center"/>
    </xf>
    <xf numFmtId="0" fontId="3" fillId="0" borderId="0" xfId="0" applyNumberFormat="1" applyFont="1" applyFill="1" applyBorder="1" applyAlignme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0"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Fill="1" applyBorder="1" applyAlignment="1">
      <alignment vertical="center"/>
    </xf>
    <xf numFmtId="0" fontId="3" fillId="0" borderId="10" xfId="46" applyFont="1" applyFill="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Fill="1" applyBorder="1" applyAlignment="1">
      <alignment horizontal="center" vertical="center"/>
    </xf>
    <xf numFmtId="0" fontId="60" fillId="0" borderId="13" xfId="46" applyFont="1" applyFill="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Border="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 fillId="0" borderId="10" xfId="46" applyFont="1" applyFill="1" applyBorder="1" applyAlignment="1">
      <alignment horizontal="center"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13" xfId="46" applyFont="1" applyBorder="1" applyAlignment="1">
      <alignment horizontal="center" vertical="center"/>
    </xf>
    <xf numFmtId="0" fontId="60" fillId="0" borderId="0" xfId="46" applyFont="1" applyBorder="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Fill="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0" xfId="46" applyFont="1" applyBorder="1" applyAlignment="1">
      <alignment vertical="center"/>
    </xf>
    <xf numFmtId="0" fontId="60" fillId="0" borderId="106" xfId="46" applyFont="1" applyBorder="1" applyAlignment="1">
      <alignment horizontal="center" vertical="center"/>
    </xf>
    <xf numFmtId="0" fontId="21" fillId="0" borderId="10" xfId="46" applyFont="1" applyFill="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Fill="1" applyBorder="1" applyAlignment="1">
      <alignmen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applyFill="1" applyBorder="1"/>
    <xf numFmtId="0" fontId="3" fillId="0" borderId="0" xfId="53" applyFont="1" applyFill="1" applyAlignment="1">
      <alignment horizontal="center"/>
    </xf>
    <xf numFmtId="0" fontId="76" fillId="0" borderId="50" xfId="0" applyFont="1" applyBorder="1" applyAlignment="1"/>
    <xf numFmtId="0" fontId="23" fillId="0" borderId="48" xfId="0" applyFont="1" applyBorder="1" applyAlignment="1"/>
    <xf numFmtId="0" fontId="23" fillId="0" borderId="41" xfId="0" applyFont="1" applyBorder="1" applyAlignment="1"/>
    <xf numFmtId="0" fontId="23" fillId="0" borderId="10" xfId="0" applyFont="1" applyBorder="1" applyAlignment="1" applyProtection="1">
      <protection locked="0"/>
    </xf>
    <xf numFmtId="0" fontId="3" fillId="0" borderId="10" xfId="50" applyFont="1" applyFill="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Fill="1"/>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Fill="1" applyBorder="1"/>
    <xf numFmtId="0" fontId="79" fillId="0" borderId="10" xfId="0" applyFont="1" applyFill="1" applyBorder="1" applyAlignment="1">
      <alignment vertical="top"/>
    </xf>
    <xf numFmtId="0" fontId="3" fillId="0" borderId="53" xfId="39" applyFont="1" applyBorder="1" applyAlignment="1" applyProtection="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applyProtection="1"/>
    <xf numFmtId="0" fontId="4" fillId="0" borderId="0" xfId="46" applyFont="1" applyProtection="1"/>
    <xf numFmtId="0" fontId="4" fillId="0" borderId="23" xfId="46" applyFont="1" applyBorder="1" applyProtection="1"/>
    <xf numFmtId="0" fontId="4" fillId="0" borderId="48" xfId="46" applyFont="1" applyBorder="1" applyAlignment="1" applyProtection="1">
      <alignment horizontal="left" vertical="center"/>
    </xf>
    <xf numFmtId="0" fontId="4" fillId="0" borderId="48" xfId="46" applyFont="1" applyBorder="1" applyProtection="1"/>
    <xf numFmtId="0" fontId="4" fillId="0" borderId="41" xfId="46" applyFont="1" applyBorder="1" applyProtection="1"/>
    <xf numFmtId="0" fontId="4" fillId="0" borderId="25" xfId="46" applyFont="1" applyBorder="1" applyAlignment="1" applyProtection="1">
      <alignment horizontal="center" vertical="center" wrapText="1"/>
    </xf>
    <xf numFmtId="0" fontId="4" fillId="0" borderId="48" xfId="46" applyFont="1" applyBorder="1" applyAlignment="1" applyProtection="1">
      <alignment horizontal="center" vertical="center" wrapText="1"/>
    </xf>
    <xf numFmtId="0" fontId="4" fillId="0" borderId="41" xfId="46" applyFont="1" applyBorder="1" applyAlignment="1" applyProtection="1">
      <alignment horizontal="center" vertical="center" wrapText="1"/>
    </xf>
    <xf numFmtId="0" fontId="3" fillId="0" borderId="53" xfId="46" applyFont="1" applyBorder="1" applyAlignment="1" applyProtection="1">
      <alignment horizontal="center" vertical="center"/>
    </xf>
    <xf numFmtId="0" fontId="3" fillId="0" borderId="53" xfId="46" applyFont="1" applyBorder="1" applyAlignment="1" applyProtection="1">
      <alignment horizontal="center" vertical="center" wrapText="1"/>
    </xf>
    <xf numFmtId="0" fontId="3" fillId="0" borderId="10" xfId="46" applyFont="1" applyBorder="1" applyProtection="1"/>
    <xf numFmtId="0" fontId="81" fillId="0" borderId="10" xfId="39" applyFont="1" applyFill="1" applyBorder="1" applyAlignment="1" applyProtection="1">
      <alignment horizontal="left"/>
    </xf>
    <xf numFmtId="0" fontId="81" fillId="0" borderId="10" xfId="39" applyFont="1" applyFill="1" applyBorder="1" applyAlignment="1" applyProtection="1">
      <alignment horizontal="center"/>
    </xf>
    <xf numFmtId="0" fontId="81" fillId="0" borderId="10" xfId="48" applyFont="1" applyFill="1" applyBorder="1" applyAlignment="1" applyProtection="1">
      <alignment horizontal="center"/>
    </xf>
    <xf numFmtId="0" fontId="81" fillId="0" borderId="10" xfId="49" applyFont="1" applyFill="1" applyBorder="1" applyProtection="1"/>
    <xf numFmtId="0" fontId="81" fillId="0" borderId="10" xfId="46" applyFont="1" applyFill="1" applyBorder="1" applyProtection="1"/>
    <xf numFmtId="0" fontId="3" fillId="0" borderId="10" xfId="39" applyFont="1" applyBorder="1" applyAlignment="1" applyProtection="1">
      <alignment horizontal="center"/>
    </xf>
    <xf numFmtId="0" fontId="81" fillId="0" borderId="10" xfId="39" applyFont="1" applyFill="1" applyBorder="1" applyProtection="1"/>
    <xf numFmtId="0" fontId="31" fillId="0" borderId="25" xfId="39" applyFont="1" applyFill="1" applyBorder="1" applyAlignment="1" applyProtection="1">
      <alignment horizontal="left"/>
    </xf>
    <xf numFmtId="0" fontId="31" fillId="0" borderId="25" xfId="39" applyFont="1" applyFill="1" applyBorder="1" applyAlignment="1" applyProtection="1"/>
    <xf numFmtId="0" fontId="31" fillId="0" borderId="25" xfId="39" applyFont="1" applyFill="1" applyBorder="1" applyAlignment="1" applyProtection="1">
      <alignment horizontal="center"/>
    </xf>
    <xf numFmtId="0" fontId="31" fillId="0" borderId="77" xfId="39" applyFont="1" applyFill="1" applyBorder="1" applyAlignment="1" applyProtection="1">
      <alignment horizontal="center"/>
    </xf>
    <xf numFmtId="0" fontId="31" fillId="0" borderId="109" xfId="48" applyFont="1" applyFill="1" applyBorder="1" applyAlignment="1" applyProtection="1">
      <alignment horizontal="center"/>
    </xf>
    <xf numFmtId="0" fontId="31" fillId="0" borderId="108" xfId="39" applyFont="1" applyFill="1" applyBorder="1" applyProtection="1"/>
    <xf numFmtId="0" fontId="31" fillId="0" borderId="108" xfId="39" applyFont="1" applyFill="1" applyBorder="1" applyAlignment="1" applyProtection="1">
      <alignment horizontal="center"/>
    </xf>
    <xf numFmtId="0" fontId="31" fillId="0" borderId="110" xfId="49" applyFont="1" applyFill="1" applyBorder="1" applyProtection="1"/>
    <xf numFmtId="0" fontId="31" fillId="0" borderId="25" xfId="49" applyFont="1" applyFill="1" applyBorder="1" applyProtection="1"/>
    <xf numFmtId="0" fontId="31" fillId="0" borderId="10" xfId="39" applyFont="1" applyFill="1" applyBorder="1" applyAlignment="1" applyProtection="1">
      <alignment horizontal="left"/>
    </xf>
    <xf numFmtId="0" fontId="31" fillId="0" borderId="10" xfId="39" applyFont="1" applyFill="1" applyBorder="1" applyAlignment="1" applyProtection="1"/>
    <xf numFmtId="0" fontId="31" fillId="0" borderId="10" xfId="39" applyFont="1" applyFill="1" applyBorder="1" applyAlignment="1" applyProtection="1">
      <alignment horizontal="center"/>
    </xf>
    <xf numFmtId="0" fontId="31" fillId="0" borderId="50" xfId="39" applyFont="1" applyFill="1" applyBorder="1" applyAlignment="1" applyProtection="1">
      <alignment horizontal="center"/>
    </xf>
    <xf numFmtId="0" fontId="31" fillId="0" borderId="10" xfId="48" applyFont="1" applyFill="1" applyBorder="1" applyAlignment="1" applyProtection="1">
      <alignment horizontal="center"/>
    </xf>
    <xf numFmtId="0" fontId="31" fillId="0" borderId="41" xfId="39" applyFont="1" applyFill="1" applyBorder="1" applyProtection="1"/>
    <xf numFmtId="0" fontId="31" fillId="0" borderId="88" xfId="49" applyFont="1" applyFill="1" applyBorder="1" applyProtection="1"/>
    <xf numFmtId="0" fontId="31" fillId="0" borderId="10" xfId="49" applyFont="1" applyFill="1" applyBorder="1" applyProtection="1"/>
    <xf numFmtId="0" fontId="5" fillId="0" borderId="10" xfId="0" applyFont="1" applyBorder="1" applyProtection="1"/>
    <xf numFmtId="0" fontId="27" fillId="0" borderId="0" xfId="0" applyFont="1" applyFill="1" applyAlignment="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10" xfId="0" applyFont="1" applyFill="1" applyBorder="1"/>
    <xf numFmtId="0" fontId="21" fillId="0" borderId="25" xfId="0" applyFont="1" applyFill="1" applyBorder="1" applyAlignment="1">
      <alignment wrapText="1"/>
    </xf>
    <xf numFmtId="0" fontId="21" fillId="0" borderId="10" xfId="0" applyFont="1" applyBorder="1" applyAlignment="1">
      <alignment wrapText="1"/>
    </xf>
    <xf numFmtId="0" fontId="21" fillId="0" borderId="10" xfId="0" applyFont="1" applyFill="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3" fillId="0" borderId="0" xfId="0" applyFont="1" applyAlignment="1">
      <alignment horizontal="center" vertical="center"/>
    </xf>
    <xf numFmtId="0" fontId="10" fillId="0" borderId="0" xfId="39" applyFont="1" applyProtection="1"/>
    <xf numFmtId="0" fontId="3" fillId="0" borderId="50" xfId="39" applyFont="1" applyBorder="1" applyProtection="1"/>
    <xf numFmtId="0" fontId="3" fillId="0" borderId="46" xfId="39" applyFont="1" applyBorder="1" applyProtection="1"/>
    <xf numFmtId="0" fontId="3" fillId="0" borderId="53" xfId="39" applyFont="1" applyBorder="1" applyAlignment="1" applyProtection="1">
      <alignment horizontal="left" vertical="center" wrapText="1"/>
    </xf>
    <xf numFmtId="0" fontId="3" fillId="0" borderId="23" xfId="39" applyFont="1" applyBorder="1" applyAlignment="1" applyProtection="1">
      <alignment horizontal="center" vertical="center" wrapText="1"/>
    </xf>
    <xf numFmtId="0" fontId="3" fillId="0" borderId="46" xfId="39" applyFont="1" applyBorder="1" applyAlignment="1" applyProtection="1">
      <alignment horizontal="center" vertical="center" wrapText="1"/>
    </xf>
    <xf numFmtId="0" fontId="3" fillId="0" borderId="24" xfId="39" applyFont="1" applyBorder="1" applyAlignment="1" applyProtection="1">
      <alignment horizontal="center"/>
    </xf>
    <xf numFmtId="0" fontId="10" fillId="0" borderId="0" xfId="0" applyFont="1" applyProtection="1"/>
    <xf numFmtId="0" fontId="2" fillId="26" borderId="83" xfId="0" applyFont="1" applyFill="1" applyBorder="1" applyProtection="1"/>
    <xf numFmtId="0" fontId="8" fillId="0" borderId="10" xfId="0" applyFont="1" applyFill="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30" borderId="10" xfId="53"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8" borderId="10" xfId="53" applyNumberFormat="1" applyFont="1" applyFill="1" applyBorder="1" applyAlignment="1">
      <alignment horizontal="center"/>
    </xf>
    <xf numFmtId="0" fontId="3" fillId="28" borderId="10" xfId="53" applyFont="1" applyFill="1" applyBorder="1" applyAlignment="1">
      <alignment horizontal="center"/>
    </xf>
    <xf numFmtId="165" fontId="3" fillId="28"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0"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0" fontId="3" fillId="24" borderId="41" xfId="0" applyNumberFormat="1" applyFont="1" applyFill="1" applyBorder="1"/>
    <xf numFmtId="1" fontId="3" fillId="24" borderId="10" xfId="0" applyNumberFormat="1" applyFont="1" applyFill="1" applyBorder="1"/>
    <xf numFmtId="0" fontId="3" fillId="24" borderId="10" xfId="0" applyNumberFormat="1" applyFont="1" applyFill="1" applyBorder="1" applyAlignment="1">
      <alignment horizontal="right"/>
    </xf>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10" xfId="47" applyNumberFormat="1" applyFont="1" applyFill="1" applyBorder="1"/>
    <xf numFmtId="0" fontId="3" fillId="24" borderId="114" xfId="0" applyNumberFormat="1" applyFont="1" applyFill="1" applyBorder="1"/>
    <xf numFmtId="0" fontId="3" fillId="24" borderId="41" xfId="47" applyNumberFormat="1" applyFont="1" applyFill="1" applyBorder="1"/>
    <xf numFmtId="0" fontId="3" fillId="24" borderId="10" xfId="0" applyNumberFormat="1" applyFont="1" applyFill="1" applyBorder="1" applyAlignment="1">
      <alignment horizontal="center"/>
    </xf>
    <xf numFmtId="0" fontId="3" fillId="24" borderId="10" xfId="47" applyNumberFormat="1" applyFont="1" applyFill="1" applyBorder="1" applyAlignment="1">
      <alignment horizontal="right"/>
    </xf>
    <xf numFmtId="0" fontId="3" fillId="24" borderId="50" xfId="0" applyNumberFormat="1" applyFont="1" applyFill="1" applyBorder="1"/>
    <xf numFmtId="0" fontId="3" fillId="24" borderId="29" xfId="0" applyNumberFormat="1" applyFont="1" applyFill="1" applyBorder="1"/>
    <xf numFmtId="0" fontId="3" fillId="24" borderId="50" xfId="0" applyNumberFormat="1" applyFont="1" applyFill="1" applyBorder="1" applyAlignment="1">
      <alignment horizontal="center"/>
    </xf>
    <xf numFmtId="0" fontId="3" fillId="24" borderId="88" xfId="0" applyNumberFormat="1" applyFont="1" applyFill="1" applyBorder="1"/>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114" xfId="0" applyNumberFormat="1" applyFont="1" applyFill="1" applyBorder="1" applyAlignment="1">
      <alignment horizontal="center"/>
    </xf>
    <xf numFmtId="0" fontId="3" fillId="24" borderId="41" xfId="47" applyNumberFormat="1"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NumberFormat="1" applyFont="1" applyFill="1" applyBorder="1"/>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applyBorder="1"/>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Font="1" applyFill="1" applyBorder="1" applyAlignment="1">
      <alignment horizontal="center"/>
    </xf>
    <xf numFmtId="173" fontId="17" fillId="0" borderId="10" xfId="47" applyNumberFormat="1" applyFill="1" applyBorder="1" applyAlignment="1">
      <alignment horizontal="center"/>
    </xf>
    <xf numFmtId="172" fontId="17" fillId="0" borderId="10" xfId="47" applyNumberFormat="1" applyFill="1" applyBorder="1" applyAlignment="1">
      <alignment horizontal="center"/>
    </xf>
    <xf numFmtId="2" fontId="17" fillId="0" borderId="10" xfId="47" applyNumberFormat="1" applyFill="1" applyBorder="1" applyAlignment="1">
      <alignment horizontal="center"/>
    </xf>
    <xf numFmtId="176" fontId="17" fillId="0" borderId="10" xfId="47" applyNumberFormat="1" applyFill="1" applyBorder="1" applyAlignment="1">
      <alignment horizontal="center"/>
    </xf>
    <xf numFmtId="0" fontId="3" fillId="0" borderId="10" xfId="0" applyFont="1" applyFill="1" applyBorder="1" applyAlignment="1" applyProtection="1">
      <alignment horizontal="center" vertical="center"/>
    </xf>
    <xf numFmtId="0" fontId="14" fillId="0" borderId="10" xfId="0" applyFont="1" applyFill="1" applyBorder="1" applyProtection="1"/>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NumberFormat="1"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Fill="1" applyBorder="1" applyProtection="1"/>
    <xf numFmtId="0" fontId="3" fillId="0" borderId="10" xfId="46" applyFont="1" applyFill="1" applyBorder="1" applyProtection="1"/>
    <xf numFmtId="0" fontId="31" fillId="35" borderId="109" xfId="46" applyFont="1" applyFill="1" applyBorder="1" applyProtection="1"/>
    <xf numFmtId="0" fontId="31" fillId="35" borderId="10" xfId="46" applyFont="1" applyFill="1" applyBorder="1" applyProtection="1"/>
    <xf numFmtId="0" fontId="3" fillId="27" borderId="88" xfId="0" applyNumberFormat="1" applyFont="1" applyFill="1" applyBorder="1"/>
    <xf numFmtId="0" fontId="3" fillId="27" borderId="10" xfId="0" applyNumberFormat="1" applyFont="1" applyFill="1" applyBorder="1"/>
    <xf numFmtId="0" fontId="3" fillId="29" borderId="41" xfId="47" applyNumberFormat="1" applyFont="1" applyFill="1" applyBorder="1" applyAlignment="1">
      <alignment horizontal="right"/>
    </xf>
    <xf numFmtId="0" fontId="3" fillId="29" borderId="10" xfId="47" applyNumberFormat="1"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NumberFormat="1" applyFont="1" applyFill="1" applyBorder="1"/>
    <xf numFmtId="0" fontId="31" fillId="24" borderId="10" xfId="0" applyFont="1" applyFill="1" applyBorder="1"/>
    <xf numFmtId="0" fontId="3" fillId="24" borderId="0" xfId="0" applyFont="1" applyFill="1"/>
    <xf numFmtId="0" fontId="3" fillId="24" borderId="0" xfId="0" applyFont="1" applyFill="1" applyAlignment="1">
      <alignment horizontal="center"/>
    </xf>
    <xf numFmtId="0" fontId="58" fillId="32" borderId="70" xfId="0" applyFont="1" applyFill="1" applyBorder="1" applyProtection="1"/>
    <xf numFmtId="0" fontId="58" fillId="32" borderId="80" xfId="0" applyFont="1" applyFill="1" applyBorder="1" applyProtection="1"/>
    <xf numFmtId="0" fontId="57" fillId="34" borderId="34" xfId="0" applyFont="1" applyFill="1" applyBorder="1" applyAlignment="1">
      <alignment horizontal="center"/>
    </xf>
    <xf numFmtId="0" fontId="58" fillId="32" borderId="58" xfId="0" applyFont="1" applyFill="1" applyBorder="1" applyAlignment="1" applyProtection="1">
      <alignment horizontal="center"/>
    </xf>
    <xf numFmtId="0" fontId="58" fillId="32" borderId="103" xfId="0" applyFont="1" applyFill="1" applyBorder="1" applyAlignment="1" applyProtection="1">
      <alignment horizontal="center"/>
    </xf>
    <xf numFmtId="0" fontId="58" fillId="32" borderId="104" xfId="0" applyFont="1" applyFill="1" applyBorder="1" applyAlignment="1" applyProtection="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Fill="1" applyAlignment="1">
      <alignment vertical="top" wrapText="1"/>
    </xf>
    <xf numFmtId="0" fontId="3" fillId="0" borderId="0" xfId="55" applyFont="1" applyFill="1" applyAlignment="1">
      <alignment wrapText="1"/>
    </xf>
    <xf numFmtId="0" fontId="27" fillId="0" borderId="0" xfId="55" applyFont="1" applyFill="1" applyAlignment="1">
      <alignment wrapText="1"/>
    </xf>
    <xf numFmtId="0" fontId="14" fillId="0" borderId="0" xfId="55" applyFont="1" applyFill="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Fill="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0" borderId="10" xfId="53" applyFont="1" applyFill="1" applyBorder="1"/>
    <xf numFmtId="0" fontId="3" fillId="0" borderId="10" xfId="53" applyFont="1" applyFill="1" applyBorder="1"/>
    <xf numFmtId="0" fontId="4" fillId="0" borderId="0" xfId="53" applyFont="1" applyFill="1"/>
    <xf numFmtId="0" fontId="3" fillId="0" borderId="0" xfId="53" applyFont="1" applyFill="1"/>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3" fillId="0" borderId="10" xfId="0" applyFont="1" applyFill="1" applyBorder="1" applyAlignment="1" applyProtection="1">
      <alignment horizontal="center"/>
      <protection hidden="1"/>
    </xf>
    <xf numFmtId="0" fontId="9" fillId="0" borderId="0" xfId="0" applyFont="1" applyFill="1" applyBorder="1" applyAlignment="1" applyProtection="1">
      <alignment horizontal="center"/>
      <protection hidden="1"/>
    </xf>
    <xf numFmtId="0" fontId="3" fillId="37" borderId="10" xfId="0" applyNumberFormat="1" applyFont="1" applyFill="1" applyBorder="1" applyAlignment="1">
      <alignment horizontal="center"/>
    </xf>
    <xf numFmtId="0" fontId="3" fillId="37" borderId="10" xfId="0" applyNumberFormat="1" applyFont="1" applyFill="1" applyBorder="1" applyAlignment="1">
      <alignment horizontal="right"/>
    </xf>
    <xf numFmtId="0" fontId="3" fillId="37" borderId="50" xfId="0" applyNumberFormat="1" applyFont="1" applyFill="1" applyBorder="1" applyAlignment="1">
      <alignment horizontal="center"/>
    </xf>
    <xf numFmtId="0" fontId="3" fillId="37" borderId="10" xfId="0" applyNumberFormat="1"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wrapText="1"/>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24" xfId="0" applyNumberFormat="1" applyFont="1" applyFill="1" applyBorder="1" applyAlignment="1">
      <alignment horizontal="center"/>
    </xf>
    <xf numFmtId="0" fontId="3" fillId="24" borderId="70" xfId="0" applyNumberFormat="1" applyFont="1" applyFill="1" applyBorder="1" applyAlignment="1">
      <alignment horizontal="center"/>
    </xf>
    <xf numFmtId="0" fontId="3" fillId="24" borderId="105" xfId="0" applyNumberFormat="1" applyFont="1" applyFill="1" applyBorder="1" applyAlignment="1">
      <alignment horizontal="center"/>
    </xf>
    <xf numFmtId="0" fontId="3" fillId="24" borderId="80" xfId="0" applyNumberFormat="1"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NumberFormat="1" applyFont="1" applyFill="1" applyBorder="1" applyAlignment="1">
      <alignment horizontal="center"/>
    </xf>
    <xf numFmtId="0" fontId="3" fillId="24" borderId="55" xfId="0" applyNumberFormat="1" applyFont="1" applyFill="1" applyBorder="1" applyAlignment="1">
      <alignment horizontal="center"/>
    </xf>
    <xf numFmtId="0" fontId="4" fillId="0" borderId="119" xfId="49" applyFont="1" applyBorder="1" applyAlignment="1" applyProtection="1">
      <alignment horizontal="center"/>
    </xf>
    <xf numFmtId="0" fontId="4" fillId="0" borderId="48" xfId="49" applyFont="1" applyBorder="1" applyAlignment="1" applyProtection="1">
      <alignment horizontal="center"/>
    </xf>
    <xf numFmtId="0" fontId="4" fillId="0" borderId="41" xfId="49" applyFont="1" applyBorder="1" applyAlignment="1" applyProtection="1">
      <alignment horizontal="center"/>
    </xf>
    <xf numFmtId="0" fontId="4" fillId="0" borderId="50" xfId="46" applyFont="1" applyBorder="1" applyAlignment="1" applyProtection="1">
      <alignment horizontal="center" vertical="center" wrapText="1"/>
    </xf>
    <xf numFmtId="0" fontId="1" fillId="0" borderId="48" xfId="46" applyBorder="1" applyAlignment="1"/>
    <xf numFmtId="0" fontId="1" fillId="0" borderId="41" xfId="46" applyBorder="1" applyAlignment="1"/>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0" fillId="0" borderId="105" xfId="0" applyBorder="1" applyAlignment="1">
      <alignment horizontal="center" vertical="center"/>
    </xf>
    <xf numFmtId="0" fontId="3" fillId="0" borderId="105" xfId="0" applyFont="1" applyBorder="1" applyAlignment="1">
      <alignment horizontal="center" vertical="center"/>
    </xf>
  </cellXfs>
  <cellStyles count="58">
    <cellStyle name="20% - Accent1" xfId="1"/>
    <cellStyle name="20% - Accent2" xfId="2"/>
    <cellStyle name="20% - Accent3" xfId="3"/>
    <cellStyle name="20% - Accent4" xfId="4"/>
    <cellStyle name="20% - Accent5" xfId="5"/>
    <cellStyle name="20% - Accent6" xfId="6"/>
    <cellStyle name="40% - Accent1" xfId="7"/>
    <cellStyle name="40% - Accent2" xfId="8"/>
    <cellStyle name="40% - Accent3" xfId="9"/>
    <cellStyle name="40% - Accent4" xfId="10"/>
    <cellStyle name="40% - Accent5" xfId="11"/>
    <cellStyle name="40% - Accent6" xfId="12"/>
    <cellStyle name="60% - Accent1" xfId="13"/>
    <cellStyle name="60% - Accent2" xfId="14"/>
    <cellStyle name="60% - Accent3" xfId="15"/>
    <cellStyle name="60% - Accent4" xfId="16"/>
    <cellStyle name="60% - Accent5" xfId="17"/>
    <cellStyle name="60% - Accent6" xfId="18"/>
    <cellStyle name="Accent1" xfId="19"/>
    <cellStyle name="Accent2" xfId="20"/>
    <cellStyle name="Accent3" xfId="21"/>
    <cellStyle name="Accent4" xfId="22"/>
    <cellStyle name="Accent5" xfId="23"/>
    <cellStyle name="Accent6" xfId="24"/>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rmal 2" xfId="56"/>
    <cellStyle name="Normal 3" xfId="57"/>
    <cellStyle name="Normal_Axis_Conversion" xfId="37"/>
    <cellStyle name="Normal_Axis_Conversion_Payload Input" xfId="38"/>
    <cellStyle name="Normal_Delta_Load_Check_V2_1" xfId="39"/>
    <cellStyle name="Note" xfId="40"/>
    <cellStyle name="Output" xfId="41"/>
    <cellStyle name="Porcentaje" xfId="45" builtinId="5"/>
    <cellStyle name="Title" xfId="42"/>
    <cellStyle name="Total" xfId="43"/>
    <cellStyle name="Warning Text" xfId="44"/>
    <cellStyle name="標準 2" xfId="46"/>
    <cellStyle name="標準 3" xfId="55"/>
    <cellStyle name="標準_Axis Data" xfId="47"/>
    <cellStyle name="標準_FANUC_Payload_Check_V6_27beta6" xfId="48"/>
    <cellStyle name="標準_FANUC_Payload_Check_V6_29" xfId="49"/>
    <cellStyle name="標準_FANUC_Payload_Checker_V7_36b_Pro" xfId="50"/>
    <cellStyle name="標準_Glossary" xfId="51"/>
    <cellStyle name="標準_J3 J6 Arm Load " xfId="52"/>
    <cellStyle name="標準_J3 J6 Arm Load Calculation" xfId="53"/>
    <cellStyle name="標準_Sheet1" xfId="54"/>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53.300000000000004</c:v>
                </c:pt>
                <c:pt idx="2">
                  <c:v>36</c:v>
                </c:pt>
                <c:pt idx="3">
                  <c:v>36</c:v>
                </c:pt>
                <c:pt idx="4">
                  <c:v>14</c:v>
                </c:pt>
                <c:pt idx="6">
                  <c:v>25.1</c:v>
                </c:pt>
                <c:pt idx="7">
                  <c:v>24.700000000000003</c:v>
                </c:pt>
                <c:pt idx="8">
                  <c:v>10.9</c:v>
                </c:pt>
              </c:numCache>
            </c:numRef>
          </c:val>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ser>
        <c:dLbls>
          <c:showLegendKey val="0"/>
          <c:showVal val="0"/>
          <c:showCatName val="0"/>
          <c:showSerName val="0"/>
          <c:showPercent val="0"/>
          <c:showBubbleSize val="0"/>
        </c:dLbls>
        <c:gapWidth val="50"/>
        <c:overlap val="100"/>
        <c:axId val="80225024"/>
        <c:axId val="80226560"/>
      </c:barChart>
      <c:catAx>
        <c:axId val="802250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80226560"/>
        <c:crossesAt val="0"/>
        <c:auto val="1"/>
        <c:lblAlgn val="ctr"/>
        <c:lblOffset val="100"/>
        <c:tickLblSkip val="1"/>
        <c:tickMarkSkip val="1"/>
        <c:noMultiLvlLbl val="0"/>
      </c:catAx>
      <c:valAx>
        <c:axId val="80226560"/>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80225024"/>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35.41587809019633</c:v>
                </c:pt>
              </c:numCache>
            </c:numRef>
          </c:xVal>
          <c:yVal>
            <c:numRef>
              <c:f>'Diagram Data'!$F$25</c:f>
              <c:numCache>
                <c:formatCode>0.00</c:formatCode>
                <c:ptCount val="1"/>
                <c:pt idx="0">
                  <c:v>483.63386234917573</c:v>
                </c:pt>
              </c:numCache>
            </c:numRef>
          </c:yVal>
          <c:smooth val="0"/>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80249216"/>
        <c:axId val="80251136"/>
      </c:scatterChart>
      <c:valAx>
        <c:axId val="80249216"/>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0251136"/>
        <c:crosses val="autoZero"/>
        <c:crossBetween val="midCat"/>
      </c:valAx>
      <c:valAx>
        <c:axId val="8025113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0249216"/>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34.727963844522719</c:v>
                </c:pt>
              </c:numCache>
            </c:numRef>
          </c:xVal>
          <c:yVal>
            <c:numRef>
              <c:f>'Diagram Data'!$F$29</c:f>
              <c:numCache>
                <c:formatCode>0.00</c:formatCode>
                <c:ptCount val="1"/>
                <c:pt idx="0">
                  <c:v>483.63386234917573</c:v>
                </c:pt>
              </c:numCache>
            </c:numRef>
          </c:yVal>
          <c:smooth val="0"/>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83755776"/>
        <c:axId val="83757696"/>
      </c:scatterChart>
      <c:valAx>
        <c:axId val="83755776"/>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3757696"/>
        <c:crosses val="autoZero"/>
        <c:crossBetween val="midCat"/>
      </c:valAx>
      <c:valAx>
        <c:axId val="8375769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3755776"/>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8.4924227354221333</c:v>
                </c:pt>
              </c:numCache>
            </c:numRef>
          </c:xVal>
          <c:yVal>
            <c:numRef>
              <c:f>'Diagram Data'!$F$33</c:f>
              <c:numCache>
                <c:formatCode>0.00</c:formatCode>
                <c:ptCount val="1"/>
                <c:pt idx="0">
                  <c:v>100.61280362082796</c:v>
                </c:pt>
              </c:numCache>
            </c:numRef>
          </c:yVal>
          <c:smooth val="0"/>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ser>
        <c:dLbls>
          <c:showLegendKey val="0"/>
          <c:showVal val="0"/>
          <c:showCatName val="0"/>
          <c:showSerName val="0"/>
          <c:showPercent val="0"/>
          <c:showBubbleSize val="0"/>
        </c:dLbls>
        <c:axId val="83809408"/>
        <c:axId val="83811328"/>
      </c:scatterChart>
      <c:valAx>
        <c:axId val="8380940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3811328"/>
        <c:crosses val="autoZero"/>
        <c:crossBetween val="midCat"/>
      </c:valAx>
      <c:valAx>
        <c:axId val="8381132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380940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35.41584794124617</c:v>
                </c:pt>
                <c:pt idx="1">
                  <c:v>35.220651655533636</c:v>
                </c:pt>
                <c:pt idx="2">
                  <c:v>34.693880489902199</c:v>
                </c:pt>
                <c:pt idx="3">
                  <c:v>33.970216133798047</c:v>
                </c:pt>
                <c:pt idx="4">
                  <c:v>33.239029579051987</c:v>
                </c:pt>
                <c:pt idx="5">
                  <c:v>32.698582702316855</c:v>
                </c:pt>
                <c:pt idx="6">
                  <c:v>32.501304108512528</c:v>
                </c:pt>
                <c:pt idx="7">
                  <c:v>32.704825543516606</c:v>
                </c:pt>
                <c:pt idx="8">
                  <c:v>33.25099568541755</c:v>
                </c:pt>
                <c:pt idx="9">
                  <c:v>33.985723133868021</c:v>
                </c:pt>
                <c:pt idx="10">
                  <c:v>34.708660555443338</c:v>
                </c:pt>
                <c:pt idx="11">
                  <c:v>35.229719528374325</c:v>
                </c:pt>
                <c:pt idx="12">
                  <c:v>35.41584794124617</c:v>
                </c:pt>
                <c:pt idx="13">
                  <c:v>35.220651655533636</c:v>
                </c:pt>
                <c:pt idx="14">
                  <c:v>34.693880489902192</c:v>
                </c:pt>
                <c:pt idx="15">
                  <c:v>33.97021613379804</c:v>
                </c:pt>
                <c:pt idx="16">
                  <c:v>33.239029579051987</c:v>
                </c:pt>
                <c:pt idx="17">
                  <c:v>32.698582702316855</c:v>
                </c:pt>
                <c:pt idx="18">
                  <c:v>32.501304108512528</c:v>
                </c:pt>
                <c:pt idx="19">
                  <c:v>32.704825543516606</c:v>
                </c:pt>
                <c:pt idx="20">
                  <c:v>33.25099568541755</c:v>
                </c:pt>
                <c:pt idx="21">
                  <c:v>33.985723133868021</c:v>
                </c:pt>
                <c:pt idx="22">
                  <c:v>34.708660555443338</c:v>
                </c:pt>
                <c:pt idx="23">
                  <c:v>35.229719528374318</c:v>
                </c:pt>
                <c:pt idx="24">
                  <c:v>35.41584794124617</c:v>
                </c:pt>
              </c:numCache>
            </c:numRef>
          </c:yVal>
          <c:smooth val="1"/>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32.49994647843571</c:v>
                </c:pt>
                <c:pt idx="1">
                  <c:v>32.668333756549657</c:v>
                </c:pt>
                <c:pt idx="2">
                  <c:v>33.09001101858324</c:v>
                </c:pt>
                <c:pt idx="3">
                  <c:v>33.651990182708012</c:v>
                </c:pt>
                <c:pt idx="4">
                  <c:v>34.203689385733597</c:v>
                </c:pt>
                <c:pt idx="5">
                  <c:v>34.597281271744421</c:v>
                </c:pt>
                <c:pt idx="6">
                  <c:v>34.727303212736416</c:v>
                </c:pt>
                <c:pt idx="7">
                  <c:v>34.558915934622476</c:v>
                </c:pt>
                <c:pt idx="8">
                  <c:v>34.137238672588879</c:v>
                </c:pt>
                <c:pt idx="9">
                  <c:v>33.575259508464114</c:v>
                </c:pt>
                <c:pt idx="10">
                  <c:v>33.023560305438522</c:v>
                </c:pt>
                <c:pt idx="11">
                  <c:v>32.629968419427705</c:v>
                </c:pt>
                <c:pt idx="12">
                  <c:v>32.49994647843571</c:v>
                </c:pt>
                <c:pt idx="13">
                  <c:v>32.668333756549657</c:v>
                </c:pt>
                <c:pt idx="14">
                  <c:v>33.090011018583247</c:v>
                </c:pt>
                <c:pt idx="15">
                  <c:v>33.651990182708012</c:v>
                </c:pt>
                <c:pt idx="16">
                  <c:v>34.203689385733597</c:v>
                </c:pt>
                <c:pt idx="17">
                  <c:v>34.597281271744414</c:v>
                </c:pt>
                <c:pt idx="18">
                  <c:v>34.727303212736416</c:v>
                </c:pt>
                <c:pt idx="19">
                  <c:v>34.558915934622476</c:v>
                </c:pt>
                <c:pt idx="20">
                  <c:v>34.137238672588879</c:v>
                </c:pt>
                <c:pt idx="21">
                  <c:v>33.575259508464114</c:v>
                </c:pt>
                <c:pt idx="22">
                  <c:v>33.023560305438522</c:v>
                </c:pt>
                <c:pt idx="23">
                  <c:v>32.629968419427712</c:v>
                </c:pt>
                <c:pt idx="24">
                  <c:v>32.49994647843571</c:v>
                </c:pt>
              </c:numCache>
            </c:numRef>
          </c:yVal>
          <c:smooth val="1"/>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Input'!$B$89</c:f>
              <c:numCache>
                <c:formatCode>General</c:formatCode>
                <c:ptCount val="1"/>
                <c:pt idx="0">
                  <c:v>359.8133868528771</c:v>
                </c:pt>
              </c:numCache>
            </c:numRef>
          </c:xVal>
          <c:yVal>
            <c:numRef>
              <c:f>'Payload Input'!$J$89</c:f>
              <c:numCache>
                <c:formatCode>General</c:formatCode>
                <c:ptCount val="1"/>
                <c:pt idx="0">
                  <c:v>35.41587809019633</c:v>
                </c:pt>
              </c:numCache>
            </c:numRef>
          </c:yVal>
          <c:smooth val="1"/>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Input'!$B$90</c:f>
              <c:numCache>
                <c:formatCode>General</c:formatCode>
                <c:ptCount val="1"/>
                <c:pt idx="0">
                  <c:v>89.013493023876151</c:v>
                </c:pt>
              </c:numCache>
            </c:numRef>
          </c:xVal>
          <c:yVal>
            <c:numRef>
              <c:f>'Payload Input'!$K$90</c:f>
              <c:numCache>
                <c:formatCode>General</c:formatCode>
                <c:ptCount val="1"/>
                <c:pt idx="0">
                  <c:v>34.727963844522719</c:v>
                </c:pt>
              </c:numCache>
            </c:numRef>
          </c:yVal>
          <c:smooth val="1"/>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dLbl>
            <c:spPr>
              <a:noFill/>
              <a:ln w="25400">
                <a:noFill/>
              </a:ln>
            </c:spPr>
            <c:txPr>
              <a:bodyPr/>
              <a:lstStyle/>
              <a:p>
                <a:pPr>
                  <a:defRPr lang="ja-JP" sz="1000">
                    <a:solidFill>
                      <a:srgbClr val="FF0000"/>
                    </a:solidFill>
                    <a:latin typeface="Arial" pitchFamily="34" charset="0"/>
                    <a:cs typeface="Arial" pitchFamily="34" charset="0"/>
                  </a:defRPr>
                </a:pPr>
                <a:endParaRPr lang="en-US"/>
              </a:p>
            </c:txPr>
            <c:dLblPos val="t"/>
            <c:showLegendKey val="0"/>
            <c:showVal val="0"/>
            <c:showCatName val="0"/>
            <c:showSerName val="1"/>
            <c:showPercent val="0"/>
            <c:showBubbleSize val="0"/>
            <c:showLeaderLines val="0"/>
          </c:dLbls>
          <c:xVal>
            <c:numLit>
              <c:formatCode>General</c:formatCode>
              <c:ptCount val="1"/>
              <c:pt idx="0">
                <c:v>0</c:v>
              </c:pt>
            </c:numLit>
          </c:xVal>
          <c:yVal>
            <c:numRef>
              <c:f>'Payload Input'!$E$38</c:f>
              <c:numCache>
                <c:formatCode>General</c:formatCode>
                <c:ptCount val="1"/>
                <c:pt idx="0">
                  <c:v>8.4924227354221333</c:v>
                </c:pt>
              </c:numCache>
            </c:numRef>
          </c:yVal>
          <c:smooth val="1"/>
        </c:ser>
        <c:dLbls>
          <c:showLegendKey val="0"/>
          <c:showVal val="0"/>
          <c:showCatName val="0"/>
          <c:showSerName val="0"/>
          <c:showPercent val="0"/>
          <c:showBubbleSize val="0"/>
        </c:dLbls>
        <c:axId val="83678336"/>
        <c:axId val="83680256"/>
      </c:scatterChart>
      <c:valAx>
        <c:axId val="83678336"/>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en-US"/>
          </a:p>
        </c:txPr>
        <c:crossAx val="83680256"/>
        <c:crosses val="autoZero"/>
        <c:crossBetween val="midCat"/>
      </c:valAx>
      <c:valAx>
        <c:axId val="83680256"/>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en-US"/>
          </a:p>
        </c:txPr>
        <c:crossAx val="83678336"/>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800000"/>
                    </a:solidFill>
                    <a:latin typeface="Arial"/>
                    <a:ea typeface="Arial"/>
                    <a:cs typeface="Arial"/>
                  </a:defRPr>
                </a:pPr>
                <a:endParaRPr lang="en-US"/>
              </a:p>
            </c:txPr>
            <c:dLblPos val="b"/>
            <c:showLegendKey val="0"/>
            <c:showVal val="0"/>
            <c:showCatName val="0"/>
            <c:showSerName val="1"/>
            <c:showPercent val="0"/>
            <c:showBubbleSize val="0"/>
            <c:showLeaderLines val="0"/>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ser>
        <c:dLbls>
          <c:showLegendKey val="0"/>
          <c:showVal val="0"/>
          <c:showCatName val="0"/>
          <c:showSerName val="0"/>
          <c:showPercent val="0"/>
          <c:showBubbleSize val="0"/>
        </c:dLbls>
        <c:axId val="91785088"/>
        <c:axId val="91786624"/>
      </c:scatterChart>
      <c:valAx>
        <c:axId val="91785088"/>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91786624"/>
        <c:crosses val="autoZero"/>
        <c:crossBetween val="midCat"/>
      </c:valAx>
      <c:valAx>
        <c:axId val="91786624"/>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91785088"/>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xdr:cNvGrpSpPr>
          <a:grpSpLocks/>
        </xdr:cNvGrpSpPr>
      </xdr:nvGrpSpPr>
      <xdr:grpSpPr bwMode="auto">
        <a:xfrm>
          <a:off x="295275" y="3971925"/>
          <a:ext cx="2600325" cy="1514475"/>
          <a:chOff x="31" y="437"/>
          <a:chExt cx="273" cy="159"/>
        </a:xfrm>
      </xdr:grpSpPr>
      <xdr:sp macro="" textlink="">
        <xdr:nvSpPr>
          <xdr:cNvPr id="2097213" name="Rectangle 7"/>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xdr:cNvGrpSpPr>
          <a:grpSpLocks/>
        </xdr:cNvGrpSpPr>
      </xdr:nvGrpSpPr>
      <xdr:grpSpPr bwMode="auto">
        <a:xfrm>
          <a:off x="2943225" y="4057650"/>
          <a:ext cx="1971675" cy="1028700"/>
          <a:chOff x="508" y="378"/>
          <a:chExt cx="207" cy="108"/>
        </a:xfrm>
      </xdr:grpSpPr>
      <xdr:sp macro="" textlink="">
        <xdr:nvSpPr>
          <xdr:cNvPr id="326435" name="Text Box 21"/>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xdr:cNvGrpSpPr>
          <a:grpSpLocks/>
        </xdr:cNvGrpSpPr>
      </xdr:nvGrpSpPr>
      <xdr:grpSpPr bwMode="auto">
        <a:xfrm>
          <a:off x="2943225" y="4057650"/>
          <a:ext cx="1962150" cy="1028700"/>
          <a:chOff x="597" y="350"/>
          <a:chExt cx="206" cy="108"/>
        </a:xfrm>
      </xdr:grpSpPr>
      <xdr:sp macro="" textlink="">
        <xdr:nvSpPr>
          <xdr:cNvPr id="16789" name="Text Box 19" hidden="1"/>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xdr:cNvGrpSpPr>
          <a:grpSpLocks/>
        </xdr:cNvGrpSpPr>
      </xdr:nvGrpSpPr>
      <xdr:grpSpPr bwMode="auto">
        <a:xfrm>
          <a:off x="2943225" y="4057650"/>
          <a:ext cx="2486025" cy="1038225"/>
          <a:chOff x="553" y="366"/>
          <a:chExt cx="261" cy="109"/>
        </a:xfrm>
      </xdr:grpSpPr>
      <xdr:sp macro="" textlink="">
        <xdr:nvSpPr>
          <xdr:cNvPr id="16798" name="Text Box 19" hidden="1"/>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xdr:cNvGrpSpPr>
          <a:grpSpLocks/>
        </xdr:cNvGrpSpPr>
      </xdr:nvGrpSpPr>
      <xdr:grpSpPr bwMode="auto">
        <a:xfrm>
          <a:off x="2943225" y="4057650"/>
          <a:ext cx="2466975" cy="1076325"/>
          <a:chOff x="639" y="353"/>
          <a:chExt cx="259" cy="113"/>
        </a:xfrm>
      </xdr:grpSpPr>
      <xdr:sp macro="" textlink="">
        <xdr:nvSpPr>
          <xdr:cNvPr id="16807" name="Text Box 19" hidden="1"/>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xdr:cNvGrpSpPr>
          <a:grpSpLocks/>
        </xdr:cNvGrpSpPr>
      </xdr:nvGrpSpPr>
      <xdr:grpSpPr bwMode="auto">
        <a:xfrm>
          <a:off x="2943225" y="4057650"/>
          <a:ext cx="2152650" cy="1028700"/>
          <a:chOff x="660" y="404"/>
          <a:chExt cx="226" cy="108"/>
        </a:xfrm>
      </xdr:grpSpPr>
      <xdr:sp macro="" textlink="">
        <xdr:nvSpPr>
          <xdr:cNvPr id="16816" name="Text Box 19" hidden="1"/>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xdr:cNvGrpSpPr>
          <a:grpSpLocks/>
        </xdr:cNvGrpSpPr>
      </xdr:nvGrpSpPr>
      <xdr:grpSpPr bwMode="auto">
        <a:xfrm>
          <a:off x="3048000" y="4048125"/>
          <a:ext cx="1895475" cy="1038225"/>
          <a:chOff x="601" y="389"/>
          <a:chExt cx="199" cy="109"/>
        </a:xfrm>
      </xdr:grpSpPr>
      <xdr:sp macro="" textlink="">
        <xdr:nvSpPr>
          <xdr:cNvPr id="16825" name="Text Box 19" hidden="1"/>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xdr:cNvGrpSpPr>
          <a:grpSpLocks/>
        </xdr:cNvGrpSpPr>
      </xdr:nvGrpSpPr>
      <xdr:grpSpPr bwMode="auto">
        <a:xfrm>
          <a:off x="3038475" y="4067175"/>
          <a:ext cx="1828800" cy="990600"/>
          <a:chOff x="623" y="459"/>
          <a:chExt cx="192" cy="104"/>
        </a:xfrm>
      </xdr:grpSpPr>
      <xdr:sp macro="" textlink="">
        <xdr:nvSpPr>
          <xdr:cNvPr id="16834" name="Text Box 1043" hidden="1"/>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xdr:cNvGrpSpPr>
          <a:grpSpLocks/>
        </xdr:cNvGrpSpPr>
      </xdr:nvGrpSpPr>
      <xdr:grpSpPr bwMode="auto">
        <a:xfrm>
          <a:off x="3048000" y="4057650"/>
          <a:ext cx="1895475" cy="1019175"/>
          <a:chOff x="508" y="600"/>
          <a:chExt cx="199" cy="107"/>
        </a:xfrm>
      </xdr:grpSpPr>
      <xdr:sp macro="" textlink="">
        <xdr:nvSpPr>
          <xdr:cNvPr id="326443" name="Text Box 18" hidden="1"/>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xdr:cNvGrpSpPr>
          <a:grpSpLocks/>
        </xdr:cNvGrpSpPr>
      </xdr:nvGrpSpPr>
      <xdr:grpSpPr bwMode="auto">
        <a:xfrm>
          <a:off x="2943225" y="4057650"/>
          <a:ext cx="2428875" cy="1057275"/>
          <a:chOff x="591" y="364"/>
          <a:chExt cx="255" cy="111"/>
        </a:xfrm>
      </xdr:grpSpPr>
      <xdr:sp macro="" textlink="">
        <xdr:nvSpPr>
          <xdr:cNvPr id="16765" name="Text Box 19" hidden="1"/>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xdr:cNvGrpSpPr>
          <a:grpSpLocks/>
        </xdr:cNvGrpSpPr>
      </xdr:nvGrpSpPr>
      <xdr:grpSpPr bwMode="auto">
        <a:xfrm>
          <a:off x="142875" y="419100"/>
          <a:ext cx="8258175" cy="1295400"/>
          <a:chOff x="15" y="44"/>
          <a:chExt cx="867" cy="136"/>
        </a:xfrm>
      </xdr:grpSpPr>
      <xdr:sp macro="" textlink="">
        <xdr:nvSpPr>
          <xdr:cNvPr id="10694" name="テキスト 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xdr:cNvGrpSpPr>
          <a:grpSpLocks/>
        </xdr:cNvGrpSpPr>
      </xdr:nvGrpSpPr>
      <xdr:grpSpPr bwMode="auto">
        <a:xfrm>
          <a:off x="142875" y="419100"/>
          <a:ext cx="8258175" cy="1295400"/>
          <a:chOff x="15" y="44"/>
          <a:chExt cx="867" cy="136"/>
        </a:xfrm>
      </xdr:grpSpPr>
      <xdr:sp macro="" textlink="">
        <xdr:nvSpPr>
          <xdr:cNvPr id="10299"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xdr:cNvGrpSpPr>
          <a:grpSpLocks/>
        </xdr:cNvGrpSpPr>
      </xdr:nvGrpSpPr>
      <xdr:grpSpPr bwMode="auto">
        <a:xfrm>
          <a:off x="142875" y="419100"/>
          <a:ext cx="8258175" cy="1295400"/>
          <a:chOff x="15" y="44"/>
          <a:chExt cx="867" cy="136"/>
        </a:xfrm>
      </xdr:grpSpPr>
      <xdr:sp macro="" textlink="">
        <xdr:nvSpPr>
          <xdr:cNvPr id="1030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xdr:cNvGrpSpPr>
          <a:grpSpLocks/>
        </xdr:cNvGrpSpPr>
      </xdr:nvGrpSpPr>
      <xdr:grpSpPr bwMode="auto">
        <a:xfrm>
          <a:off x="142875" y="419100"/>
          <a:ext cx="8258175" cy="1295400"/>
          <a:chOff x="15" y="44"/>
          <a:chExt cx="867" cy="136"/>
        </a:xfrm>
      </xdr:grpSpPr>
      <xdr:sp macro="" textlink="">
        <xdr:nvSpPr>
          <xdr:cNvPr id="10305"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xdr:cNvGrpSpPr>
          <a:grpSpLocks/>
        </xdr:cNvGrpSpPr>
      </xdr:nvGrpSpPr>
      <xdr:grpSpPr bwMode="auto">
        <a:xfrm>
          <a:off x="142875" y="419100"/>
          <a:ext cx="8258175" cy="1295400"/>
          <a:chOff x="15" y="44"/>
          <a:chExt cx="867" cy="136"/>
        </a:xfrm>
      </xdr:grpSpPr>
      <xdr:sp macro="" textlink="">
        <xdr:nvSpPr>
          <xdr:cNvPr id="10308"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xdr:cNvGrpSpPr>
          <a:grpSpLocks/>
        </xdr:cNvGrpSpPr>
      </xdr:nvGrpSpPr>
      <xdr:grpSpPr bwMode="auto">
        <a:xfrm>
          <a:off x="142875" y="419100"/>
          <a:ext cx="8258175" cy="1295400"/>
          <a:chOff x="15" y="43"/>
          <a:chExt cx="867" cy="136"/>
        </a:xfrm>
      </xdr:grpSpPr>
      <xdr:sp macro="" textlink="">
        <xdr:nvSpPr>
          <xdr:cNvPr id="10311" name="テキスト 1" hidden="1"/>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xdr:cNvGrpSpPr>
          <a:grpSpLocks/>
        </xdr:cNvGrpSpPr>
      </xdr:nvGrpSpPr>
      <xdr:grpSpPr bwMode="auto">
        <a:xfrm>
          <a:off x="142875" y="419100"/>
          <a:ext cx="8258175" cy="1295400"/>
          <a:chOff x="15" y="44"/>
          <a:chExt cx="867" cy="136"/>
        </a:xfrm>
      </xdr:grpSpPr>
      <xdr:sp macro="" textlink="">
        <xdr:nvSpPr>
          <xdr:cNvPr id="10314"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xdr:cNvGrpSpPr>
          <a:grpSpLocks/>
        </xdr:cNvGrpSpPr>
      </xdr:nvGrpSpPr>
      <xdr:grpSpPr bwMode="auto">
        <a:xfrm>
          <a:off x="142875" y="419100"/>
          <a:ext cx="8258175" cy="1295400"/>
          <a:chOff x="15" y="44"/>
          <a:chExt cx="867" cy="136"/>
        </a:xfrm>
      </xdr:grpSpPr>
      <xdr:sp macro="" textlink="">
        <xdr:nvSpPr>
          <xdr:cNvPr id="10317"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xdr:cNvGrpSpPr>
          <a:grpSpLocks/>
        </xdr:cNvGrpSpPr>
      </xdr:nvGrpSpPr>
      <xdr:grpSpPr bwMode="auto">
        <a:xfrm>
          <a:off x="142875" y="419100"/>
          <a:ext cx="8258175" cy="1295400"/>
          <a:chOff x="15" y="44"/>
          <a:chExt cx="867" cy="136"/>
        </a:xfrm>
      </xdr:grpSpPr>
      <xdr:sp macro="" textlink="">
        <xdr:nvSpPr>
          <xdr:cNvPr id="1069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hidden="1">
              <a:extLst>
                <a:ext uri="{63B3BB69-23CF-44E3-9099-C40C66FF867C}">
                  <a14:compatExt spid="_x0000_s239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hidden="1">
              <a:extLst>
                <a:ext uri="{63B3BB69-23CF-44E3-9099-C40C66FF867C}">
                  <a14:compatExt spid="_x0000_s239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hidden="1">
              <a:extLst>
                <a:ext uri="{63B3BB69-23CF-44E3-9099-C40C66FF867C}">
                  <a14:compatExt spid="_x0000_s23965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B1:C26"/>
  <sheetViews>
    <sheetView showGridLines="0" showRowColHeaders="0" topLeftCell="B1" zoomScaleNormal="100" workbookViewId="0">
      <selection activeCell="B2" sqref="B2"/>
    </sheetView>
  </sheetViews>
  <sheetFormatPr baseColWidth="10" defaultColWidth="8.83203125" defaultRowHeight="12.75"/>
  <cols>
    <col min="1" max="1" width="3" style="3" customWidth="1"/>
    <col min="2" max="2" width="6.83203125" style="3" customWidth="1"/>
    <col min="3" max="3" width="145.83203125" style="713" customWidth="1"/>
    <col min="4" max="4" width="69.5" style="3" customWidth="1"/>
    <col min="5" max="16384" width="8.83203125" style="3"/>
  </cols>
  <sheetData>
    <row r="1" spans="2:3" ht="20.25">
      <c r="B1" s="95" t="s">
        <v>3866</v>
      </c>
    </row>
    <row r="2" spans="2:3" s="141" customFormat="1">
      <c r="C2" s="770" t="s">
        <v>3867</v>
      </c>
    </row>
    <row r="3" spans="2:3" s="141" customFormat="1" ht="84">
      <c r="B3" s="516"/>
      <c r="C3" s="771" t="s">
        <v>3868</v>
      </c>
    </row>
    <row r="4" spans="2:3">
      <c r="B4" s="175"/>
      <c r="C4" s="714"/>
    </row>
    <row r="5" spans="2:3">
      <c r="B5" s="175" t="s">
        <v>2147</v>
      </c>
      <c r="C5" s="597" t="s">
        <v>3869</v>
      </c>
    </row>
    <row r="6" spans="2:3">
      <c r="B6" s="175" t="s">
        <v>2148</v>
      </c>
      <c r="C6" s="597" t="s">
        <v>3870</v>
      </c>
    </row>
    <row r="7" spans="2:3">
      <c r="B7" s="175" t="s">
        <v>1004</v>
      </c>
      <c r="C7" s="597" t="s">
        <v>3871</v>
      </c>
    </row>
    <row r="8" spans="2:3">
      <c r="B8" s="175" t="s">
        <v>3435</v>
      </c>
      <c r="C8" s="597" t="s">
        <v>3872</v>
      </c>
    </row>
    <row r="9" spans="2:3">
      <c r="B9" s="175" t="s">
        <v>1471</v>
      </c>
      <c r="C9" s="597" t="s">
        <v>3873</v>
      </c>
    </row>
    <row r="10" spans="2:3">
      <c r="B10" s="175" t="s">
        <v>1472</v>
      </c>
      <c r="C10" s="597" t="s">
        <v>3874</v>
      </c>
    </row>
    <row r="11" spans="2:3" ht="25.5" customHeight="1">
      <c r="B11" s="175" t="s">
        <v>1473</v>
      </c>
      <c r="C11" s="597" t="s">
        <v>3875</v>
      </c>
    </row>
    <row r="12" spans="2:3">
      <c r="B12" s="175" t="s">
        <v>3754</v>
      </c>
      <c r="C12" s="597" t="s">
        <v>3876</v>
      </c>
    </row>
    <row r="13" spans="2:3">
      <c r="B13" s="175" t="s">
        <v>2223</v>
      </c>
      <c r="C13" s="597" t="s">
        <v>3877</v>
      </c>
    </row>
    <row r="14" spans="2:3">
      <c r="B14" s="175" t="s">
        <v>531</v>
      </c>
      <c r="C14" s="597" t="s">
        <v>3878</v>
      </c>
    </row>
    <row r="15" spans="2:3">
      <c r="B15" s="175" t="s">
        <v>2500</v>
      </c>
      <c r="C15" s="597" t="s">
        <v>3879</v>
      </c>
    </row>
    <row r="16" spans="2:3" ht="38.25" customHeight="1">
      <c r="B16" s="175" t="s">
        <v>2928</v>
      </c>
      <c r="C16" s="597" t="s">
        <v>3880</v>
      </c>
    </row>
    <row r="17" spans="2:3">
      <c r="B17" s="488" t="s">
        <v>782</v>
      </c>
      <c r="C17" s="492" t="s">
        <v>3881</v>
      </c>
    </row>
    <row r="18" spans="2:3">
      <c r="B18" s="488" t="s">
        <v>1172</v>
      </c>
      <c r="C18" s="492" t="s">
        <v>3882</v>
      </c>
    </row>
    <row r="19" spans="2:3">
      <c r="B19" s="488" t="s">
        <v>2327</v>
      </c>
      <c r="C19" s="492" t="s">
        <v>3883</v>
      </c>
    </row>
    <row r="20" spans="2:3">
      <c r="B20" s="488" t="s">
        <v>2381</v>
      </c>
      <c r="C20" s="492" t="s">
        <v>3884</v>
      </c>
    </row>
    <row r="21" spans="2:3">
      <c r="B21" s="488" t="s">
        <v>2002</v>
      </c>
      <c r="C21" s="492" t="s">
        <v>3885</v>
      </c>
    </row>
    <row r="22" spans="2:3">
      <c r="B22" s="488" t="s">
        <v>3414</v>
      </c>
      <c r="C22" s="492" t="s">
        <v>3886</v>
      </c>
    </row>
    <row r="23" spans="2:3" ht="25.5">
      <c r="B23" s="488"/>
      <c r="C23" s="492" t="s">
        <v>3887</v>
      </c>
    </row>
    <row r="24" spans="2:3">
      <c r="B24" s="91"/>
      <c r="C24" s="715"/>
    </row>
    <row r="25" spans="2:3">
      <c r="B25" s="3" t="str">
        <f>'Axis Data'!D1</f>
        <v>FANUC Payload Checker ver.7.41(2016/1/15)</v>
      </c>
      <c r="C25" s="716"/>
    </row>
    <row r="26" spans="2:3">
      <c r="C26" s="716" t="str">
        <f>'Axis Data'!P1</f>
        <v>A-83842-03/22</v>
      </c>
    </row>
  </sheetData>
  <sheetProtection password="D4C7"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B1:C27"/>
  <sheetViews>
    <sheetView showGridLines="0" showRowColHeaders="0" zoomScaleNormal="100" workbookViewId="0"/>
  </sheetViews>
  <sheetFormatPr baseColWidth="10" defaultColWidth="8.83203125" defaultRowHeight="12.75"/>
  <cols>
    <col min="1" max="1" width="3" style="3" customWidth="1"/>
    <col min="2" max="2" width="6.83203125" style="3" customWidth="1"/>
    <col min="3" max="3" width="78.83203125" style="713" customWidth="1"/>
    <col min="4" max="4" width="69.5" style="3" customWidth="1"/>
    <col min="5" max="16384" width="8.83203125" style="3"/>
  </cols>
  <sheetData>
    <row r="1" spans="2:3" ht="20.25">
      <c r="B1" s="95" t="s">
        <v>3888</v>
      </c>
      <c r="C1" s="712"/>
    </row>
    <row r="2" spans="2:3">
      <c r="C2" s="712"/>
    </row>
    <row r="3" spans="2:3">
      <c r="B3" s="175" t="s">
        <v>2076</v>
      </c>
      <c r="C3" s="771" t="s">
        <v>3889</v>
      </c>
    </row>
    <row r="4" spans="2:3">
      <c r="B4" s="175" t="s">
        <v>1289</v>
      </c>
      <c r="C4" s="771" t="s">
        <v>3890</v>
      </c>
    </row>
    <row r="5" spans="2:3">
      <c r="B5" s="175" t="s">
        <v>2334</v>
      </c>
      <c r="C5" s="771" t="s">
        <v>3891</v>
      </c>
    </row>
    <row r="6" spans="2:3">
      <c r="B6" s="175" t="s">
        <v>1562</v>
      </c>
      <c r="C6" s="771" t="s">
        <v>3892</v>
      </c>
    </row>
    <row r="7" spans="2:3" ht="24">
      <c r="B7" s="175"/>
      <c r="C7" s="772" t="s">
        <v>4030</v>
      </c>
    </row>
    <row r="8" spans="2:3" ht="24">
      <c r="B8" s="175"/>
      <c r="C8" s="772" t="s">
        <v>4031</v>
      </c>
    </row>
    <row r="9" spans="2:3">
      <c r="B9" s="175"/>
      <c r="C9" s="772" t="s">
        <v>4032</v>
      </c>
    </row>
    <row r="10" spans="2:3" ht="24">
      <c r="B10" s="175"/>
      <c r="C10" s="772" t="s">
        <v>4033</v>
      </c>
    </row>
    <row r="11" spans="2:3" ht="24">
      <c r="C11" s="772" t="s">
        <v>2585</v>
      </c>
    </row>
    <row r="12" spans="2:3">
      <c r="B12" s="175" t="s">
        <v>2740</v>
      </c>
      <c r="C12" s="771" t="s">
        <v>3893</v>
      </c>
    </row>
    <row r="13" spans="2:3">
      <c r="B13" s="175" t="s">
        <v>1079</v>
      </c>
      <c r="C13" s="771" t="s">
        <v>3894</v>
      </c>
    </row>
    <row r="14" spans="2:3">
      <c r="B14" s="175" t="s">
        <v>1080</v>
      </c>
      <c r="C14" s="771" t="s">
        <v>3895</v>
      </c>
    </row>
    <row r="15" spans="2:3">
      <c r="B15" s="175" t="s">
        <v>1081</v>
      </c>
      <c r="C15" s="771" t="s">
        <v>3896</v>
      </c>
    </row>
    <row r="16" spans="2:3" s="176" customFormat="1" ht="25.5" customHeight="1">
      <c r="B16" s="597"/>
      <c r="C16" s="771" t="s">
        <v>3897</v>
      </c>
    </row>
    <row r="17" spans="2:3">
      <c r="B17" s="175" t="s">
        <v>2999</v>
      </c>
      <c r="C17" s="771" t="s">
        <v>3898</v>
      </c>
    </row>
    <row r="18" spans="2:3" ht="36">
      <c r="B18" s="175" t="s">
        <v>3000</v>
      </c>
      <c r="C18" s="771" t="s">
        <v>3899</v>
      </c>
    </row>
    <row r="19" spans="2:3" ht="48">
      <c r="B19" s="175" t="s">
        <v>3787</v>
      </c>
      <c r="C19" s="773" t="s">
        <v>3900</v>
      </c>
    </row>
    <row r="20" spans="2:3">
      <c r="B20" s="3" t="s">
        <v>3523</v>
      </c>
      <c r="C20" s="773" t="s">
        <v>3901</v>
      </c>
    </row>
    <row r="21" spans="2:3">
      <c r="C21" s="773" t="s">
        <v>3902</v>
      </c>
    </row>
    <row r="22" spans="2:3">
      <c r="C22" s="712" t="s">
        <v>3903</v>
      </c>
    </row>
    <row r="23" spans="2:3">
      <c r="C23" s="712" t="s">
        <v>3904</v>
      </c>
    </row>
    <row r="24" spans="2:3" ht="24">
      <c r="C24" s="712" t="s">
        <v>3905</v>
      </c>
    </row>
    <row r="25" spans="2:3">
      <c r="C25" s="712" t="s">
        <v>3906</v>
      </c>
    </row>
    <row r="26" spans="2:3">
      <c r="C26" s="712" t="s">
        <v>3907</v>
      </c>
    </row>
    <row r="27" spans="2:3" ht="24">
      <c r="C27" s="712" t="s">
        <v>3908</v>
      </c>
    </row>
  </sheetData>
  <sheetProtection password="D4C7"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fitToPage="1"/>
  </sheetPr>
  <dimension ref="B1:D19"/>
  <sheetViews>
    <sheetView showGridLines="0" showRowColHeaders="0" zoomScaleNormal="100" workbookViewId="0"/>
  </sheetViews>
  <sheetFormatPr baseColWidth="10" defaultColWidth="8.83203125" defaultRowHeight="12.75"/>
  <cols>
    <col min="1" max="1" width="3" style="3" customWidth="1"/>
    <col min="2" max="2" width="19.5" style="3" customWidth="1"/>
    <col min="3" max="3" width="18.6640625" style="3" customWidth="1"/>
    <col min="4" max="4" width="118.83203125" style="3" customWidth="1"/>
    <col min="5" max="5" width="69.5" style="3" customWidth="1"/>
    <col min="6" max="16384" width="8.83203125" style="3"/>
  </cols>
  <sheetData>
    <row r="1" spans="2:4" ht="20.25">
      <c r="B1" s="95" t="s">
        <v>3909</v>
      </c>
    </row>
    <row r="2" spans="2:4" s="74" customFormat="1" ht="11.25">
      <c r="B2" s="75"/>
    </row>
    <row r="3" spans="2:4" s="74" customFormat="1" ht="14.25">
      <c r="B3" s="774" t="s">
        <v>3910</v>
      </c>
      <c r="C3" s="774" t="s">
        <v>3916</v>
      </c>
      <c r="D3" s="774" t="s">
        <v>3917</v>
      </c>
    </row>
    <row r="4" spans="2:4" s="74" customFormat="1" ht="14.25">
      <c r="B4" s="775" t="s">
        <v>3911</v>
      </c>
      <c r="C4" s="719" t="s">
        <v>138</v>
      </c>
      <c r="D4" s="774" t="s">
        <v>3918</v>
      </c>
    </row>
    <row r="5" spans="2:4" s="74" customFormat="1" ht="14.25">
      <c r="B5" s="717"/>
      <c r="C5" s="720" t="s">
        <v>1155</v>
      </c>
      <c r="D5" s="774" t="s">
        <v>3919</v>
      </c>
    </row>
    <row r="6" spans="2:4" s="74" customFormat="1" ht="15">
      <c r="B6" s="718"/>
      <c r="C6" s="721" t="s">
        <v>2286</v>
      </c>
      <c r="D6" s="774" t="s">
        <v>3920</v>
      </c>
    </row>
    <row r="7" spans="2:4" s="74" customFormat="1" ht="14.25">
      <c r="B7" s="775" t="s">
        <v>3912</v>
      </c>
      <c r="C7" s="719" t="s">
        <v>138</v>
      </c>
      <c r="D7" s="774" t="s">
        <v>3921</v>
      </c>
    </row>
    <row r="8" spans="2:4" s="74" customFormat="1" ht="14.25">
      <c r="B8" s="717"/>
      <c r="C8" s="720" t="s">
        <v>1155</v>
      </c>
      <c r="D8" s="774" t="s">
        <v>3922</v>
      </c>
    </row>
    <row r="9" spans="2:4" s="74" customFormat="1" ht="15">
      <c r="B9" s="718"/>
      <c r="C9" s="721" t="s">
        <v>2286</v>
      </c>
      <c r="D9" s="774" t="s">
        <v>3923</v>
      </c>
    </row>
    <row r="10" spans="2:4" s="74" customFormat="1" ht="14.25">
      <c r="B10" s="775" t="s">
        <v>3913</v>
      </c>
      <c r="C10" s="719" t="s">
        <v>138</v>
      </c>
      <c r="D10" s="774" t="s">
        <v>3924</v>
      </c>
    </row>
    <row r="11" spans="2:4" s="74" customFormat="1" ht="14.25">
      <c r="B11" s="717"/>
      <c r="C11" s="722" t="s">
        <v>1155</v>
      </c>
      <c r="D11" s="776" t="s">
        <v>3925</v>
      </c>
    </row>
    <row r="12" spans="2:4" s="74" customFormat="1" ht="28.5">
      <c r="B12" s="717"/>
      <c r="C12" s="723" t="s">
        <v>3842</v>
      </c>
      <c r="D12" s="777" t="s">
        <v>3926</v>
      </c>
    </row>
    <row r="13" spans="2:4" s="74" customFormat="1" ht="15">
      <c r="B13" s="718"/>
      <c r="C13" s="721" t="s">
        <v>2286</v>
      </c>
      <c r="D13" s="774" t="s">
        <v>3927</v>
      </c>
    </row>
    <row r="14" spans="2:4" s="74" customFormat="1" ht="14.25">
      <c r="B14" s="775" t="s">
        <v>3914</v>
      </c>
      <c r="C14" s="719" t="s">
        <v>138</v>
      </c>
      <c r="D14" s="774" t="s">
        <v>3928</v>
      </c>
    </row>
    <row r="15" spans="2:4" s="74" customFormat="1" ht="14.25">
      <c r="B15" s="717"/>
      <c r="C15" s="720" t="s">
        <v>1155</v>
      </c>
      <c r="D15" s="778" t="s">
        <v>3929</v>
      </c>
    </row>
    <row r="16" spans="2:4" s="74" customFormat="1" ht="28.5">
      <c r="B16" s="717"/>
      <c r="C16" s="723" t="s">
        <v>2933</v>
      </c>
      <c r="D16" s="779" t="s">
        <v>3930</v>
      </c>
    </row>
    <row r="17" spans="2:4" s="74" customFormat="1" ht="15">
      <c r="B17" s="718"/>
      <c r="C17" s="721" t="s">
        <v>2507</v>
      </c>
      <c r="D17" s="778" t="s">
        <v>3931</v>
      </c>
    </row>
    <row r="19" spans="2:4" ht="15">
      <c r="B19" s="83" t="s">
        <v>3915</v>
      </c>
    </row>
  </sheetData>
  <sheetProtection password="D4C7"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D23"/>
  <sheetViews>
    <sheetView showGridLines="0" showRowColHeaders="0" workbookViewId="0">
      <selection activeCell="B30" sqref="B30"/>
    </sheetView>
  </sheetViews>
  <sheetFormatPr baseColWidth="10" defaultColWidth="8.83203125" defaultRowHeight="12.75"/>
  <cols>
    <col min="1" max="1" width="2.5" style="3" customWidth="1"/>
    <col min="2" max="2" width="70.5" style="3" customWidth="1"/>
    <col min="3" max="3" width="3.1640625" style="3" customWidth="1"/>
    <col min="4" max="4" width="70.83203125" style="3" customWidth="1"/>
    <col min="5" max="16384" width="8.83203125" style="3"/>
  </cols>
  <sheetData>
    <row r="1" spans="2:2" ht="20.25">
      <c r="B1" s="95" t="s">
        <v>3932</v>
      </c>
    </row>
    <row r="23" spans="4:4" ht="20.25">
      <c r="D23" s="95"/>
    </row>
  </sheetData>
  <sheetProtection password="D4C7"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38"/>
  <sheetViews>
    <sheetView showGridLines="0" showRowColHeaders="0" tabSelected="1" zoomScaleNormal="100" workbookViewId="0">
      <selection activeCell="G4" sqref="G4:H4"/>
    </sheetView>
  </sheetViews>
  <sheetFormatPr baseColWidth="10" defaultColWidth="9.33203125" defaultRowHeight="12.75"/>
  <cols>
    <col min="1" max="1" width="4" style="3" customWidth="1"/>
    <col min="2" max="2" width="45.33203125" style="3" customWidth="1"/>
    <col min="3" max="4" width="17.83203125" style="3" customWidth="1"/>
    <col min="5" max="5" width="5.33203125" style="3" customWidth="1"/>
    <col min="6" max="6" width="33.33203125" style="3" customWidth="1"/>
    <col min="7" max="8" width="17.83203125" style="3" customWidth="1"/>
    <col min="9" max="9" width="13.6640625" style="3" customWidth="1"/>
    <col min="10" max="10" width="13" style="3" customWidth="1"/>
    <col min="11" max="16384" width="9.33203125" style="3"/>
  </cols>
  <sheetData>
    <row r="1" spans="1:8" ht="20.25">
      <c r="B1" s="95" t="s">
        <v>3933</v>
      </c>
      <c r="C1" s="95" t="str">
        <f>+'Axis Data'!D1</f>
        <v>FANUC Payload Checker ver.7.41(2016/1/15)</v>
      </c>
    </row>
    <row r="2" spans="1:8" ht="13.5" thickBot="1"/>
    <row r="3" spans="1:8" ht="15.75" thickBot="1">
      <c r="B3" s="780" t="s">
        <v>3934</v>
      </c>
      <c r="C3" s="164"/>
      <c r="F3" s="780" t="s">
        <v>3948</v>
      </c>
      <c r="G3" s="166"/>
      <c r="H3" s="164"/>
    </row>
    <row r="4" spans="1:8" s="83" customFormat="1" ht="15">
      <c r="B4" s="781" t="s">
        <v>3935</v>
      </c>
      <c r="C4" s="793" t="str">
        <f>VLOOKUP('Misc Data'!$B$26,Table1,16)</f>
        <v>R-2000iB/210F</v>
      </c>
      <c r="D4" s="83" t="s">
        <v>3003</v>
      </c>
      <c r="F4" s="787" t="s">
        <v>3949</v>
      </c>
      <c r="G4" s="967" t="s">
        <v>4040</v>
      </c>
      <c r="H4" s="968"/>
    </row>
    <row r="5" spans="1:8" s="83" customFormat="1" ht="15">
      <c r="B5" s="280"/>
      <c r="C5" s="285">
        <f>VLOOKUP('Misc Data'!$B$26,Table1,17)</f>
        <v>0</v>
      </c>
      <c r="F5" s="787" t="s">
        <v>3950</v>
      </c>
      <c r="G5" s="969" t="s">
        <v>4041</v>
      </c>
      <c r="H5" s="973"/>
    </row>
    <row r="6" spans="1:8" s="83" customFormat="1" ht="15">
      <c r="B6" s="280" t="s">
        <v>3936</v>
      </c>
      <c r="C6" s="794" t="str">
        <f>'Misc Data'!C11</f>
        <v>CofG - SI</v>
      </c>
      <c r="F6" s="787" t="s">
        <v>3951</v>
      </c>
      <c r="G6" s="969" t="s">
        <v>4042</v>
      </c>
      <c r="H6" s="970"/>
    </row>
    <row r="7" spans="1:8" s="83" customFormat="1" ht="15">
      <c r="B7" s="280" t="s">
        <v>3937</v>
      </c>
      <c r="C7" s="795">
        <f>Summary!C7</f>
        <v>1</v>
      </c>
      <c r="E7" s="91"/>
      <c r="F7" s="787" t="s">
        <v>3952</v>
      </c>
      <c r="G7" s="969" t="s">
        <v>4039</v>
      </c>
      <c r="H7" s="970"/>
    </row>
    <row r="8" spans="1:8" ht="15.75" thickBot="1">
      <c r="B8" s="782" t="s">
        <v>4035</v>
      </c>
      <c r="C8" s="796">
        <f>'Payload Input'!$E$26</f>
        <v>0.23499999999999999</v>
      </c>
      <c r="D8" s="83"/>
      <c r="F8" s="788" t="s">
        <v>3953</v>
      </c>
      <c r="G8" s="971" t="s">
        <v>4043</v>
      </c>
      <c r="H8" s="972"/>
    </row>
    <row r="9" spans="1:8" ht="13.5" thickBot="1">
      <c r="G9" s="192"/>
    </row>
    <row r="10" spans="1:8" ht="16.5" thickBot="1">
      <c r="B10" s="780" t="str">
        <f>HLOOKUP(Anal_Payload_Code,Unit_text,2)</f>
        <v>PAYLOAD INPUT DATA: CofG - SI</v>
      </c>
      <c r="C10" s="165"/>
      <c r="F10" s="780" t="s">
        <v>3954</v>
      </c>
      <c r="G10" s="797"/>
      <c r="H10" s="167"/>
    </row>
    <row r="11" spans="1:8">
      <c r="B11" s="162" t="str">
        <f>IF(Axis_Count=1,HLOOKUP(Anal_Payload_Code,Unit_text,11),HLOOKUP(Anal_Payload_Code,Unit_text,3))</f>
        <v>J6 Payload Mass (kg)</v>
      </c>
      <c r="C11" s="338">
        <v>115</v>
      </c>
      <c r="F11" s="785" t="s">
        <v>3955</v>
      </c>
      <c r="G11" s="169"/>
      <c r="H11" s="133" t="str">
        <f>'Wrist Load Analysis'!R14</f>
        <v>OK</v>
      </c>
    </row>
    <row r="12" spans="1:8">
      <c r="B12" s="163" t="str">
        <f>IF(Anal_Robot_Code=46,"--------------------------------",HLOOKUP(Anal_Payload_Code,Unit_text,10))</f>
        <v>J3 Arm/J3 Casing Load (kg)</v>
      </c>
      <c r="C12" s="338">
        <v>11</v>
      </c>
      <c r="F12" s="785" t="s">
        <v>3912</v>
      </c>
      <c r="G12" s="149"/>
      <c r="H12" s="170" t="str">
        <f>'Wrist Load Analysis'!R15</f>
        <v>OK</v>
      </c>
    </row>
    <row r="13" spans="1:8">
      <c r="B13" s="163" t="str">
        <f>HLOOKUP(Anal_Payload_Code,Unit_text,4)</f>
        <v>Payload Center X (m)</v>
      </c>
      <c r="C13" s="338">
        <v>-8.9196510000000007E-2</v>
      </c>
      <c r="F13" s="785" t="s">
        <v>3913</v>
      </c>
      <c r="G13" s="151"/>
      <c r="H13" s="170" t="str">
        <f>'Wrist Load Analysis'!R16</f>
        <v>OK</v>
      </c>
    </row>
    <row r="14" spans="1:8" ht="13.5" thickBot="1">
      <c r="B14" s="163" t="str">
        <f>HLOOKUP(Anal_Payload_Code,Unit_text,5)</f>
        <v>Payload Center Y (m)</v>
      </c>
      <c r="C14" s="338">
        <v>3.7401869999999999E-3</v>
      </c>
      <c r="F14" s="786" t="s">
        <v>3914</v>
      </c>
      <c r="G14" s="70"/>
      <c r="H14" s="443" t="str">
        <f>'Wrist Load Analysis'!R17</f>
        <v>OK</v>
      </c>
    </row>
    <row r="15" spans="1:8">
      <c r="B15" s="163" t="str">
        <f>IF(Axis_Type=1,"--------------------------------",HLOOKUP(Anal_Payload_Code,Unit_text,6))</f>
        <v>Payload Center Z (m)</v>
      </c>
      <c r="C15" s="338">
        <v>0.18474499999999999</v>
      </c>
      <c r="F15" s="444"/>
      <c r="G15" s="169"/>
      <c r="H15" s="169"/>
    </row>
    <row r="16" spans="1:8">
      <c r="A16" s="264"/>
      <c r="B16" s="163" t="str">
        <f>HLOOKUP(Anal_Payload_Code,Unit_text,7)</f>
        <v>Payload Inertia Ix (Kg.m^2)</v>
      </c>
      <c r="C16" s="338">
        <v>14.464320000000001</v>
      </c>
      <c r="E16" s="264"/>
      <c r="F16" s="5"/>
      <c r="G16" s="151"/>
      <c r="H16" s="151"/>
    </row>
    <row r="17" spans="1:8" ht="13.5" thickBot="1">
      <c r="B17" s="265" t="str">
        <f>HLOOKUP(Anal_Payload_Code,Unit_text,8)</f>
        <v>Payload Inertia Iy (Kg.m^2)</v>
      </c>
      <c r="C17" s="339">
        <v>11.32363</v>
      </c>
      <c r="D17" s="264"/>
      <c r="F17" s="12"/>
      <c r="G17" s="263"/>
      <c r="H17" s="263"/>
    </row>
    <row r="18" spans="1:8" ht="16.149999999999999" customHeight="1" thickBot="1">
      <c r="B18" s="412" t="str">
        <f>IF(Axis_Type=1,"--------------------------------",HLOOKUP(Anal_Payload_Code,Unit_text,9))</f>
        <v>Payload Inertia Iz (Kg.m^2)</v>
      </c>
      <c r="C18" s="548">
        <v>7.5758720000000004</v>
      </c>
      <c r="F18" s="780" t="s">
        <v>3956</v>
      </c>
      <c r="G18" s="168"/>
      <c r="H18" s="167"/>
    </row>
    <row r="19" spans="1:8" ht="16.5" thickBot="1">
      <c r="A19" s="264"/>
      <c r="C19" s="192"/>
      <c r="D19" s="192"/>
      <c r="E19" s="264"/>
      <c r="F19" s="789" t="s">
        <v>4037</v>
      </c>
      <c r="G19" s="171"/>
      <c r="H19" s="325">
        <f>'Wrist Load Analysis'!R20</f>
        <v>53.300000000000004</v>
      </c>
    </row>
    <row r="20" spans="1:8" ht="15.75" thickBot="1">
      <c r="A20" s="264"/>
      <c r="B20" s="780" t="s">
        <v>3938</v>
      </c>
      <c r="C20" s="783" t="s">
        <v>3939</v>
      </c>
      <c r="D20" s="784" t="s">
        <v>3940</v>
      </c>
      <c r="E20" s="264"/>
      <c r="F20" s="965" t="s">
        <v>4038</v>
      </c>
      <c r="G20" s="966"/>
      <c r="H20" s="408">
        <f>ROUNDDOWN(Payload_lim_J3,1)</f>
        <v>216.1</v>
      </c>
    </row>
    <row r="21" spans="1:8">
      <c r="A21" s="264"/>
      <c r="B21" s="785" t="s">
        <v>4036</v>
      </c>
      <c r="C21" s="336">
        <f>VLOOKUP('Misc Data'!$B$26,Table1,12)</f>
        <v>210</v>
      </c>
      <c r="D21" s="365">
        <f>'Wrist Load Analysis'!R6</f>
        <v>115</v>
      </c>
      <c r="E21" s="264"/>
      <c r="F21" s="790" t="s">
        <v>3957</v>
      </c>
      <c r="G21" s="378"/>
      <c r="H21" s="363"/>
    </row>
    <row r="22" spans="1:8">
      <c r="A22" s="264"/>
      <c r="B22" s="785" t="s">
        <v>3941</v>
      </c>
      <c r="C22" s="336">
        <f>IF(VLOOKUP(Anal_Robot_Code,J3Arm_Load,8)=3,"-",VLOOKUP(Anal_Robot_Code,J3Arm_Load,4))</f>
        <v>25</v>
      </c>
      <c r="D22" s="365">
        <f>Anal_Input_8</f>
        <v>11</v>
      </c>
      <c r="F22" s="785" t="s">
        <v>3958</v>
      </c>
      <c r="G22" s="379"/>
      <c r="H22" s="326">
        <f>'Wrist Load Analysis'!R22</f>
        <v>36</v>
      </c>
    </row>
    <row r="23" spans="1:8">
      <c r="B23" s="785" t="s">
        <v>3942</v>
      </c>
      <c r="C23" s="336">
        <f>VLOOKUP('Misc Data'!$B$26,Table1,6)</f>
        <v>1333</v>
      </c>
      <c r="D23" s="365">
        <f>'Wrist Load Analysis'!R7</f>
        <v>483.63386234917573</v>
      </c>
      <c r="F23" s="785" t="s">
        <v>3959</v>
      </c>
      <c r="G23" s="380"/>
      <c r="H23" s="442">
        <f>'Wrist Load Analysis'!R23</f>
        <v>36</v>
      </c>
    </row>
    <row r="24" spans="1:8" ht="13.5" thickBot="1">
      <c r="A24" s="264"/>
      <c r="B24" s="785" t="s">
        <v>3943</v>
      </c>
      <c r="C24" s="336">
        <f>VLOOKUP('Misc Data'!$B$26,Table1,7)</f>
        <v>1333</v>
      </c>
      <c r="D24" s="365">
        <f>'Wrist Load Analysis'!R8</f>
        <v>483.63386234917573</v>
      </c>
      <c r="E24" s="264"/>
      <c r="F24" s="786" t="s">
        <v>3960</v>
      </c>
      <c r="G24" s="381"/>
      <c r="H24" s="327">
        <f>IF(Axis_Count=1,"-",'Wrist Load Analysis'!R24)</f>
        <v>14</v>
      </c>
    </row>
    <row r="25" spans="1:8">
      <c r="A25" s="264"/>
      <c r="B25" s="785" t="s">
        <v>3944</v>
      </c>
      <c r="C25" s="336">
        <f>VLOOKUP('Misc Data'!$B$26,Table1,8)</f>
        <v>706</v>
      </c>
      <c r="D25" s="365">
        <f>IF(Axis_Count=1,"-",'Wrist Load Analysis'!R9)</f>
        <v>100.61280362082796</v>
      </c>
      <c r="E25" s="264"/>
      <c r="F25" s="791" t="s">
        <v>3961</v>
      </c>
      <c r="G25" s="172"/>
      <c r="H25" s="363"/>
    </row>
    <row r="26" spans="1:8">
      <c r="A26" s="264"/>
      <c r="B26" s="785" t="s">
        <v>3945</v>
      </c>
      <c r="C26" s="336">
        <f>VLOOKUP('Misc Data'!$B$26,Table1,9)</f>
        <v>141.1</v>
      </c>
      <c r="D26" s="365">
        <f>'Wrist Load Analysis'!R10</f>
        <v>35.41587809019633</v>
      </c>
      <c r="E26" s="264"/>
      <c r="F26" s="785" t="s">
        <v>3958</v>
      </c>
      <c r="G26" s="266"/>
      <c r="H26" s="326">
        <f>'Wrist Load Analysis'!R26</f>
        <v>25.1</v>
      </c>
    </row>
    <row r="27" spans="1:8">
      <c r="A27" s="264"/>
      <c r="B27" s="785" t="s">
        <v>3946</v>
      </c>
      <c r="C27" s="336">
        <f>VLOOKUP('Misc Data'!$B$26,Table1,10)</f>
        <v>141.1</v>
      </c>
      <c r="D27" s="365">
        <f>'Wrist Load Analysis'!R11</f>
        <v>34.727963844522719</v>
      </c>
      <c r="E27" s="264"/>
      <c r="F27" s="785" t="s">
        <v>3959</v>
      </c>
      <c r="G27" s="267"/>
      <c r="H27" s="326">
        <f>'Wrist Load Analysis'!R27</f>
        <v>24.700000000000003</v>
      </c>
    </row>
    <row r="28" spans="1:8" ht="13.5" thickBot="1">
      <c r="A28" s="264"/>
      <c r="B28" s="786" t="s">
        <v>3947</v>
      </c>
      <c r="C28" s="544">
        <f>VLOOKUP('Misc Data'!$B$26,Table1,11)</f>
        <v>78.400000000000006</v>
      </c>
      <c r="D28" s="545">
        <f>IF(Axis_Count=1,"-",'Wrist Load Analysis'!R12)</f>
        <v>8.4924227354221333</v>
      </c>
      <c r="E28" s="264"/>
      <c r="F28" s="786" t="s">
        <v>3960</v>
      </c>
      <c r="G28" s="268"/>
      <c r="H28" s="327">
        <f>IF(Axis_Count=1,"-",'Wrist Load Analysis'!R28)</f>
        <v>10.9</v>
      </c>
    </row>
    <row r="29" spans="1:8" ht="13.5" thickBot="1">
      <c r="A29" s="264"/>
      <c r="C29" s="264"/>
      <c r="D29" s="264"/>
      <c r="E29" s="264"/>
      <c r="G29" s="792" t="s">
        <v>3962</v>
      </c>
      <c r="H29" s="364">
        <f>'Wrist Load Analysis'!C31</f>
        <v>90</v>
      </c>
    </row>
    <row r="30" spans="1:8" ht="13.5" customHeight="1">
      <c r="A30" s="264"/>
      <c r="B30" s="3" t="str">
        <f>'Axis Data'!P1</f>
        <v>A-83842-03/22</v>
      </c>
      <c r="C30" s="130"/>
      <c r="E30" s="264"/>
    </row>
    <row r="31" spans="1:8" ht="13.5" customHeight="1">
      <c r="A31" s="264"/>
      <c r="B31" s="78"/>
      <c r="C31" s="361"/>
      <c r="E31" s="264"/>
      <c r="F31" s="99"/>
      <c r="G31" s="130"/>
      <c r="H31" s="130"/>
    </row>
    <row r="32" spans="1:8">
      <c r="C32" s="361"/>
      <c r="F32" s="374"/>
      <c r="G32" s="130"/>
      <c r="H32" s="130"/>
    </row>
    <row r="33" spans="2:8">
      <c r="B33" s="39"/>
      <c r="C33" s="361"/>
      <c r="F33" s="374"/>
      <c r="G33" s="130"/>
      <c r="H33" s="130"/>
    </row>
    <row r="34" spans="2:8">
      <c r="B34" s="39"/>
      <c r="C34" s="361"/>
      <c r="F34" s="374"/>
      <c r="G34" s="130"/>
      <c r="H34" s="130"/>
    </row>
    <row r="35" spans="2:8">
      <c r="B35" s="39"/>
      <c r="C35" s="361"/>
      <c r="F35" s="375"/>
      <c r="G35" s="130"/>
      <c r="H35" s="130"/>
    </row>
    <row r="36" spans="2:8">
      <c r="B36" s="39"/>
      <c r="C36" s="361"/>
      <c r="F36" s="375"/>
      <c r="G36" s="130"/>
      <c r="H36" s="130"/>
    </row>
    <row r="37" spans="2:8" ht="14.25" customHeight="1">
      <c r="B37" s="39"/>
      <c r="C37" s="361"/>
      <c r="F37" s="376"/>
      <c r="G37" s="130"/>
      <c r="H37" s="130"/>
    </row>
    <row r="38" spans="2:8">
      <c r="F38" s="39"/>
    </row>
  </sheetData>
  <sheetProtection password="D4C7"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formula1>IF(Anal_Payload_Code=1,-100000000000000,IF(Anal_Payload_Code=2,-100000000000000,0))</formula1>
      <formula2>100000000000000</formula2>
    </dataValidation>
    <dataValidation type="decimal" allowBlank="1" showInputMessage="1" showErrorMessage="1" sqref="C11:C12 C16:C18">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S48"/>
  <sheetViews>
    <sheetView showGridLines="0" showRowColHeaders="0" showZeros="0" workbookViewId="0">
      <selection activeCell="P33" sqref="P33"/>
    </sheetView>
  </sheetViews>
  <sheetFormatPr baseColWidth="10" defaultColWidth="9.33203125"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3"/>
      <c r="B1" s="95" t="s">
        <v>3963</v>
      </c>
      <c r="C1" s="3"/>
      <c r="D1" s="3"/>
      <c r="E1" s="3"/>
      <c r="F1" s="3"/>
      <c r="G1" s="3"/>
      <c r="H1" s="3"/>
      <c r="I1" s="3"/>
      <c r="J1" s="3"/>
      <c r="K1" s="3"/>
      <c r="L1" s="3"/>
      <c r="M1" s="3"/>
      <c r="N1" s="3"/>
      <c r="O1" s="3"/>
      <c r="P1" s="3"/>
      <c r="Q1" s="3"/>
      <c r="R1" s="3"/>
      <c r="S1" s="3"/>
    </row>
    <row r="2" spans="1:19" ht="13.5" customHeight="1" thickBot="1">
      <c r="A2" s="3"/>
      <c r="B2" s="95"/>
      <c r="C2" s="3"/>
      <c r="D2" s="3"/>
      <c r="E2" s="3"/>
      <c r="F2" s="3"/>
      <c r="G2" s="3"/>
      <c r="H2" s="3"/>
      <c r="I2" s="3"/>
      <c r="J2" s="3"/>
      <c r="K2" s="3"/>
      <c r="L2" s="206"/>
      <c r="M2" s="3"/>
      <c r="N2" s="3"/>
      <c r="O2" s="3"/>
      <c r="P2" s="3"/>
      <c r="Q2" s="3"/>
      <c r="R2" s="3"/>
      <c r="S2" s="3"/>
    </row>
    <row r="3" spans="1:19" ht="13.5" customHeight="1" thickBot="1">
      <c r="A3" s="3"/>
      <c r="B3" s="982" t="str">
        <f>'Robot Analysis'!F3</f>
        <v>REFERENCE DATA</v>
      </c>
      <c r="C3" s="983"/>
      <c r="D3" s="983"/>
      <c r="E3" s="983"/>
      <c r="F3" s="983"/>
      <c r="G3" s="983"/>
      <c r="H3" s="983"/>
      <c r="I3" s="984"/>
      <c r="J3" s="3"/>
      <c r="K3" s="3"/>
      <c r="L3" s="798" t="s">
        <v>3965</v>
      </c>
      <c r="M3" s="168"/>
      <c r="N3" s="168"/>
      <c r="O3" s="168"/>
      <c r="P3" s="168"/>
      <c r="Q3" s="383"/>
      <c r="R3" s="3"/>
      <c r="S3" s="3"/>
    </row>
    <row r="4" spans="1:19" ht="4.5" customHeight="1" thickBot="1">
      <c r="A4" s="3"/>
      <c r="B4" s="311"/>
      <c r="C4" s="312"/>
      <c r="D4" s="312"/>
      <c r="E4" s="312"/>
      <c r="F4" s="312"/>
      <c r="G4" s="312"/>
      <c r="H4" s="312"/>
      <c r="I4" s="313"/>
      <c r="J4" s="3"/>
      <c r="K4" s="3"/>
      <c r="L4" s="3"/>
      <c r="M4" s="3"/>
      <c r="N4" s="3"/>
      <c r="O4" s="3"/>
      <c r="P4" s="3"/>
      <c r="Q4" s="3"/>
      <c r="R4" s="3"/>
      <c r="S4" s="3"/>
    </row>
    <row r="5" spans="1:19" ht="13.5" customHeight="1">
      <c r="A5" s="3"/>
      <c r="B5" s="186"/>
      <c r="C5" s="985" t="str">
        <f>'Robot Analysis'!B4</f>
        <v>Robot Type</v>
      </c>
      <c r="D5" s="986"/>
      <c r="E5" s="986"/>
      <c r="F5" s="986"/>
      <c r="G5" s="987" t="str">
        <f>'Robot Analysis'!C4</f>
        <v>R-2000iB/210F</v>
      </c>
      <c r="H5" s="987"/>
      <c r="I5" s="988"/>
      <c r="J5" s="3"/>
      <c r="K5" s="3"/>
      <c r="L5" s="3"/>
      <c r="M5" s="3"/>
      <c r="N5" s="3"/>
      <c r="O5" s="3"/>
      <c r="P5" s="3"/>
      <c r="Q5" s="3"/>
      <c r="R5" s="3"/>
      <c r="S5" s="3"/>
    </row>
    <row r="6" spans="1:19" ht="13.5" customHeight="1">
      <c r="A6" s="3"/>
      <c r="B6" s="186"/>
      <c r="C6" s="980" t="str">
        <f>'Robot Analysis'!F4</f>
        <v>Robot E#</v>
      </c>
      <c r="D6" s="981"/>
      <c r="E6" s="981"/>
      <c r="F6" s="981"/>
      <c r="G6" s="976" t="str">
        <f>'Robot Analysis'!G4</f>
        <v>F173336</v>
      </c>
      <c r="H6" s="976"/>
      <c r="I6" s="977"/>
      <c r="J6" s="3"/>
      <c r="K6" s="3"/>
      <c r="L6" s="3"/>
      <c r="M6" s="3"/>
      <c r="N6" s="3"/>
      <c r="O6" s="3"/>
      <c r="P6" s="3"/>
      <c r="Q6" s="3"/>
      <c r="R6" s="3"/>
      <c r="S6" s="3"/>
    </row>
    <row r="7" spans="1:19" ht="13.5" customHeight="1">
      <c r="A7" s="3"/>
      <c r="B7" s="186"/>
      <c r="C7" s="980" t="str">
        <f>'Robot Analysis'!F5</f>
        <v>Tool #</v>
      </c>
      <c r="D7" s="981"/>
      <c r="E7" s="981"/>
      <c r="F7" s="981"/>
      <c r="G7" s="976" t="str">
        <f>'Robot Analysis'!G5</f>
        <v>KJLTVR111270R01</v>
      </c>
      <c r="H7" s="976"/>
      <c r="I7" s="977"/>
      <c r="J7" s="3"/>
      <c r="K7" s="3"/>
      <c r="L7" s="3"/>
      <c r="M7" s="3"/>
      <c r="N7" s="3"/>
      <c r="O7" s="3"/>
      <c r="P7" s="3"/>
      <c r="Q7" s="3"/>
      <c r="R7" s="3"/>
      <c r="S7" s="3"/>
    </row>
    <row r="8" spans="1:19" ht="13.5" customHeight="1">
      <c r="A8" s="3"/>
      <c r="B8" s="186"/>
      <c r="C8" s="980" t="str">
        <f>'Robot Analysis'!F6</f>
        <v>Robot Station #</v>
      </c>
      <c r="D8" s="981"/>
      <c r="E8" s="981"/>
      <c r="F8" s="981"/>
      <c r="G8" s="976" t="str">
        <f>'Robot Analysis'!G6</f>
        <v>LTVR1</v>
      </c>
      <c r="H8" s="976"/>
      <c r="I8" s="977"/>
      <c r="J8" s="3"/>
      <c r="K8" s="3"/>
      <c r="L8" s="3"/>
      <c r="M8" s="3"/>
      <c r="N8" s="3"/>
      <c r="O8" s="3"/>
      <c r="P8" s="3"/>
      <c r="Q8" s="3"/>
      <c r="R8" s="3"/>
      <c r="S8" s="3"/>
    </row>
    <row r="9" spans="1:19" ht="13.5" customHeight="1">
      <c r="A9" s="3"/>
      <c r="B9" s="186"/>
      <c r="C9" s="980" t="str">
        <f>'Robot Analysis'!F7</f>
        <v>Engineer</v>
      </c>
      <c r="D9" s="981"/>
      <c r="E9" s="981"/>
      <c r="F9" s="981"/>
      <c r="G9" s="976" t="str">
        <f>'Robot Analysis'!G7</f>
        <v>FFT/AUROM</v>
      </c>
      <c r="H9" s="976"/>
      <c r="I9" s="977"/>
      <c r="J9" s="202"/>
      <c r="K9" s="269"/>
      <c r="L9" s="269"/>
      <c r="M9" s="269"/>
      <c r="N9" s="264"/>
      <c r="O9" s="264"/>
      <c r="P9" s="264"/>
      <c r="Q9" s="264"/>
      <c r="R9" s="264"/>
      <c r="S9" s="264"/>
    </row>
    <row r="10" spans="1:19" ht="13.5" customHeight="1" thickBot="1">
      <c r="A10" s="264"/>
      <c r="B10" s="290"/>
      <c r="C10" s="974" t="str">
        <f>'Robot Analysis'!F8</f>
        <v>Comment</v>
      </c>
      <c r="D10" s="975"/>
      <c r="E10" s="975"/>
      <c r="F10" s="975"/>
      <c r="G10" s="978" t="str">
        <f>'Robot Analysis'!G8</f>
        <v>2 - LLENA</v>
      </c>
      <c r="H10" s="978"/>
      <c r="I10" s="979"/>
      <c r="J10" s="269"/>
      <c r="K10" s="269"/>
      <c r="L10" s="269"/>
      <c r="M10" s="269"/>
      <c r="N10" s="264"/>
      <c r="O10" s="264"/>
      <c r="P10" s="264"/>
      <c r="Q10" s="264"/>
      <c r="R10" s="264"/>
      <c r="S10" s="264"/>
    </row>
    <row r="11" spans="1:19" ht="13.5" customHeight="1" thickBot="1">
      <c r="A11" s="264"/>
      <c r="B11" s="95"/>
      <c r="C11" s="3"/>
      <c r="D11" s="3"/>
      <c r="E11" s="3"/>
      <c r="F11" s="3"/>
      <c r="G11" s="3"/>
      <c r="H11" s="3"/>
      <c r="I11" s="3"/>
      <c r="J11" s="270"/>
      <c r="K11" s="270"/>
      <c r="L11" s="270"/>
      <c r="M11" s="269"/>
      <c r="N11" s="264"/>
      <c r="O11" s="264"/>
      <c r="P11" s="264"/>
      <c r="Q11" s="264"/>
      <c r="R11" s="264"/>
      <c r="S11" s="264"/>
    </row>
    <row r="12" spans="1:19" ht="13.5" customHeight="1" thickBot="1">
      <c r="A12" s="264"/>
      <c r="B12" s="798" t="s">
        <v>3964</v>
      </c>
      <c r="C12" s="168"/>
      <c r="D12" s="168"/>
      <c r="E12" s="168"/>
      <c r="F12" s="168"/>
      <c r="G12" s="168"/>
      <c r="H12" s="168"/>
      <c r="I12" s="201"/>
      <c r="J12" s="270"/>
      <c r="K12" s="270"/>
      <c r="L12" s="270"/>
      <c r="M12" s="269"/>
      <c r="N12" s="264"/>
      <c r="O12" s="264"/>
      <c r="P12" s="264"/>
      <c r="Q12" s="264"/>
      <c r="R12" s="264"/>
      <c r="S12" s="264"/>
    </row>
    <row r="13" spans="1:19" ht="7.5" customHeight="1">
      <c r="A13" s="264"/>
      <c r="B13" s="3"/>
      <c r="C13" s="3"/>
      <c r="D13" s="3"/>
      <c r="E13" s="3"/>
      <c r="F13" s="3"/>
      <c r="G13" s="3"/>
      <c r="H13" s="3"/>
      <c r="I13" s="3"/>
      <c r="J13" s="270"/>
      <c r="K13" s="270"/>
      <c r="L13" s="270"/>
      <c r="M13" s="269"/>
      <c r="N13" s="264"/>
      <c r="O13" s="264"/>
      <c r="P13" s="264"/>
      <c r="Q13" s="264"/>
      <c r="R13" s="264"/>
      <c r="S13" s="264"/>
    </row>
    <row r="14" spans="1:19" ht="13.5" customHeight="1">
      <c r="A14" s="264"/>
      <c r="B14" s="3"/>
      <c r="C14" s="3"/>
      <c r="D14" s="3"/>
      <c r="E14" s="3"/>
      <c r="F14" s="3"/>
      <c r="G14" s="3"/>
      <c r="H14" s="3"/>
      <c r="I14" s="3"/>
      <c r="J14" s="270"/>
      <c r="K14" s="270"/>
      <c r="L14" s="270"/>
      <c r="M14" s="269"/>
      <c r="N14" s="264"/>
      <c r="O14" s="264"/>
      <c r="P14" s="264"/>
      <c r="Q14" s="264"/>
      <c r="R14" s="264"/>
      <c r="S14" s="264"/>
    </row>
    <row r="15" spans="1:19" ht="13.5" customHeight="1">
      <c r="A15" s="264"/>
      <c r="B15" s="3"/>
      <c r="C15" s="3"/>
      <c r="D15" s="3"/>
      <c r="E15" s="3"/>
      <c r="F15" s="3"/>
      <c r="G15" s="3"/>
      <c r="H15" s="3"/>
      <c r="I15" s="3"/>
      <c r="J15" s="270"/>
      <c r="K15" s="270"/>
      <c r="L15" s="270"/>
      <c r="M15" s="269"/>
      <c r="N15" s="264"/>
      <c r="O15" s="264"/>
      <c r="P15" s="264"/>
      <c r="Q15" s="264"/>
      <c r="R15" s="264"/>
      <c r="S15" s="264"/>
    </row>
    <row r="16" spans="1:19">
      <c r="A16" s="264"/>
      <c r="B16" s="3"/>
      <c r="C16" s="3"/>
      <c r="D16" s="3"/>
      <c r="E16" s="3"/>
      <c r="F16" s="3"/>
      <c r="G16" s="3"/>
      <c r="H16" s="3"/>
      <c r="I16" s="3"/>
      <c r="J16" s="269"/>
      <c r="K16" s="269"/>
      <c r="L16" s="269"/>
      <c r="M16" s="269"/>
      <c r="N16" s="264"/>
      <c r="O16" s="264"/>
      <c r="P16" s="264"/>
      <c r="Q16" s="264"/>
      <c r="R16" s="264"/>
      <c r="S16" s="264"/>
    </row>
    <row r="17" spans="1:19">
      <c r="A17" s="264"/>
      <c r="B17" s="3"/>
      <c r="C17" s="3"/>
      <c r="D17" s="3"/>
      <c r="E17" s="3"/>
      <c r="F17" s="3"/>
      <c r="G17" s="3"/>
      <c r="H17" s="3"/>
      <c r="I17" s="3"/>
      <c r="J17" s="269"/>
      <c r="K17" s="269"/>
      <c r="L17" s="269"/>
      <c r="M17" s="269"/>
      <c r="N17" s="264"/>
      <c r="O17" s="264"/>
      <c r="P17" s="264"/>
      <c r="Q17" s="264"/>
      <c r="R17" s="264"/>
      <c r="S17" s="264"/>
    </row>
    <row r="18" spans="1:19">
      <c r="A18" s="264"/>
      <c r="B18" s="3"/>
      <c r="C18" s="3"/>
      <c r="D18" s="3"/>
      <c r="E18" s="3"/>
      <c r="F18" s="3"/>
      <c r="G18" s="3"/>
      <c r="H18" s="3"/>
      <c r="I18" s="3"/>
      <c r="J18" s="264"/>
      <c r="K18" s="264"/>
      <c r="L18" s="264"/>
      <c r="M18" s="264"/>
      <c r="N18" s="264"/>
      <c r="O18" s="264"/>
      <c r="P18" s="264"/>
      <c r="Q18" s="264"/>
      <c r="R18" s="264"/>
      <c r="S18" s="264"/>
    </row>
    <row r="19" spans="1:19">
      <c r="A19" s="264"/>
      <c r="B19" s="264"/>
      <c r="C19" s="264"/>
      <c r="D19" s="264"/>
      <c r="E19" s="264"/>
      <c r="F19" s="264"/>
      <c r="G19" s="264"/>
      <c r="H19" s="264"/>
      <c r="I19" s="264"/>
      <c r="J19" s="264"/>
      <c r="K19" s="264"/>
      <c r="L19" s="264"/>
      <c r="M19" s="264"/>
      <c r="N19" s="264"/>
      <c r="O19" s="264"/>
      <c r="P19" s="264"/>
      <c r="Q19" s="264"/>
      <c r="R19" s="264"/>
      <c r="S19" s="264"/>
    </row>
    <row r="20" spans="1:19">
      <c r="A20" s="264"/>
      <c r="B20" s="264"/>
      <c r="C20" s="264"/>
      <c r="D20" s="264"/>
      <c r="E20" s="264"/>
      <c r="F20" s="264"/>
      <c r="G20" s="264"/>
      <c r="H20" s="264"/>
      <c r="I20" s="264"/>
      <c r="J20" s="264"/>
      <c r="K20" s="264"/>
      <c r="L20" s="264"/>
      <c r="M20" s="264"/>
      <c r="N20" s="264"/>
      <c r="O20" s="264"/>
      <c r="P20" s="264"/>
      <c r="Q20" s="264"/>
      <c r="R20" s="264"/>
      <c r="S20" s="264"/>
    </row>
    <row r="21" spans="1:19">
      <c r="A21" s="264"/>
      <c r="B21" s="264"/>
      <c r="C21" s="264"/>
      <c r="D21" s="264"/>
      <c r="E21" s="264"/>
      <c r="F21" s="264"/>
      <c r="G21" s="264"/>
      <c r="H21" s="264"/>
      <c r="I21" s="264"/>
      <c r="J21" s="264"/>
      <c r="K21" s="264"/>
      <c r="L21" s="264"/>
      <c r="M21" s="264"/>
      <c r="N21" s="264"/>
      <c r="O21" s="264"/>
      <c r="P21" s="264"/>
      <c r="Q21" s="264"/>
      <c r="R21" s="264"/>
      <c r="S21" s="264"/>
    </row>
    <row r="22" spans="1:19">
      <c r="A22" s="264"/>
      <c r="B22" s="264"/>
      <c r="C22" s="264"/>
      <c r="D22" s="264"/>
      <c r="E22" s="264"/>
      <c r="F22" s="264"/>
      <c r="G22" s="264"/>
      <c r="H22" s="264"/>
      <c r="I22" s="264"/>
      <c r="J22" s="264"/>
      <c r="K22" s="264"/>
      <c r="L22" s="264"/>
      <c r="M22" s="264"/>
      <c r="N22" s="264"/>
      <c r="O22" s="264"/>
      <c r="P22" s="264"/>
      <c r="Q22" s="264"/>
      <c r="R22" s="264"/>
      <c r="S22" s="264"/>
    </row>
    <row r="23" spans="1:19">
      <c r="A23" s="264"/>
      <c r="B23" s="264"/>
      <c r="C23" s="264"/>
      <c r="D23" s="264"/>
      <c r="E23" s="264"/>
      <c r="F23" s="264"/>
      <c r="G23" s="264"/>
      <c r="H23" s="264"/>
      <c r="I23" s="264"/>
      <c r="J23" s="264"/>
      <c r="K23" s="264"/>
      <c r="L23" s="264"/>
      <c r="M23" s="264"/>
      <c r="N23" s="264"/>
      <c r="O23" s="264"/>
      <c r="P23" s="264"/>
      <c r="Q23" s="264"/>
      <c r="R23" s="264"/>
      <c r="S23" s="264"/>
    </row>
    <row r="24" spans="1:19">
      <c r="A24" s="264"/>
      <c r="B24" s="264"/>
      <c r="C24" s="264"/>
      <c r="D24" s="264"/>
      <c r="E24" s="264"/>
      <c r="F24" s="264"/>
      <c r="G24" s="264"/>
      <c r="H24" s="264"/>
      <c r="I24" s="264"/>
      <c r="J24" s="264"/>
      <c r="K24" s="264"/>
      <c r="L24" s="264"/>
      <c r="M24" s="264"/>
      <c r="N24" s="264"/>
      <c r="O24" s="264"/>
      <c r="P24" s="264"/>
      <c r="Q24" s="264"/>
      <c r="R24" s="264"/>
      <c r="S24" s="264"/>
    </row>
    <row r="25" spans="1:19">
      <c r="A25" s="264"/>
      <c r="B25" s="264"/>
      <c r="C25" s="264"/>
      <c r="D25" s="264"/>
      <c r="E25" s="264"/>
      <c r="F25" s="264"/>
      <c r="G25" s="264"/>
      <c r="H25" s="264"/>
      <c r="I25" s="264"/>
      <c r="J25" s="264"/>
      <c r="K25" s="264"/>
      <c r="L25" s="264"/>
      <c r="M25" s="264"/>
      <c r="N25" s="264"/>
      <c r="O25" s="264"/>
      <c r="P25" s="264"/>
      <c r="Q25" s="264"/>
      <c r="R25" s="264"/>
      <c r="S25" s="264"/>
    </row>
    <row r="26" spans="1:19">
      <c r="A26" s="264"/>
      <c r="B26" s="264"/>
      <c r="C26" s="264"/>
      <c r="D26" s="264"/>
      <c r="E26" s="264"/>
      <c r="F26" s="264"/>
      <c r="G26" s="264"/>
      <c r="H26" s="264"/>
      <c r="I26" s="264"/>
      <c r="J26" s="264"/>
      <c r="K26" s="264"/>
      <c r="L26" s="264"/>
      <c r="M26" s="264"/>
      <c r="N26" s="264"/>
      <c r="O26" s="264"/>
      <c r="P26" s="264"/>
      <c r="Q26" s="264"/>
      <c r="R26" s="264"/>
      <c r="S26" s="264"/>
    </row>
    <row r="27" spans="1:19">
      <c r="A27" s="264"/>
      <c r="B27" s="264"/>
      <c r="C27" s="264"/>
      <c r="D27" s="264"/>
      <c r="E27" s="264"/>
      <c r="F27" s="264"/>
      <c r="G27" s="264"/>
      <c r="H27" s="264"/>
      <c r="I27" s="264"/>
      <c r="J27" s="264"/>
      <c r="K27" s="264"/>
      <c r="L27" s="264"/>
      <c r="M27" s="264"/>
      <c r="N27" s="264"/>
      <c r="O27" s="264"/>
      <c r="P27" s="264"/>
      <c r="Q27" s="264"/>
      <c r="R27" s="264"/>
      <c r="S27" s="264"/>
    </row>
    <row r="28" spans="1:19">
      <c r="A28" s="273"/>
      <c r="B28" s="264"/>
      <c r="C28" s="264"/>
      <c r="D28" s="264"/>
      <c r="E28" s="264"/>
      <c r="F28" s="264"/>
      <c r="G28" s="264"/>
      <c r="H28" s="264"/>
      <c r="I28" s="264"/>
      <c r="J28" s="264"/>
      <c r="K28" s="264"/>
      <c r="L28" s="264"/>
      <c r="M28" s="264"/>
      <c r="N28" s="264"/>
      <c r="O28" s="264"/>
      <c r="P28" s="264"/>
      <c r="Q28" s="264"/>
      <c r="R28" s="264"/>
      <c r="S28" s="264"/>
    </row>
    <row r="29" spans="1:19">
      <c r="A29" s="264"/>
      <c r="B29" s="264"/>
      <c r="C29" s="264"/>
      <c r="D29" s="264"/>
      <c r="E29" s="264"/>
      <c r="F29" s="264"/>
      <c r="G29" s="264"/>
      <c r="H29" s="264"/>
      <c r="I29" s="264"/>
      <c r="J29" s="264"/>
      <c r="K29" s="264"/>
      <c r="L29" s="264"/>
      <c r="M29" s="264"/>
      <c r="N29" s="264"/>
      <c r="O29" s="264"/>
      <c r="P29" s="264"/>
      <c r="Q29" s="264"/>
      <c r="R29" s="264"/>
      <c r="S29" s="264"/>
    </row>
    <row r="30" spans="1:19">
      <c r="A30" s="264"/>
      <c r="B30" s="264"/>
      <c r="C30" s="264"/>
      <c r="D30" s="264"/>
      <c r="E30" s="264"/>
      <c r="F30" s="264"/>
      <c r="G30" s="264"/>
      <c r="H30" s="264"/>
      <c r="I30" s="264"/>
      <c r="J30" s="264"/>
      <c r="K30" s="264"/>
      <c r="L30" s="264"/>
      <c r="M30" s="264"/>
      <c r="N30" s="264"/>
      <c r="O30" s="264"/>
      <c r="P30" s="264"/>
      <c r="Q30" s="264"/>
      <c r="R30" s="264"/>
      <c r="S30" s="264"/>
    </row>
    <row r="31" spans="1:19">
      <c r="A31" s="264"/>
      <c r="B31" s="264"/>
      <c r="C31" s="264"/>
      <c r="D31" s="264"/>
      <c r="E31" s="264"/>
      <c r="F31" s="264"/>
      <c r="G31" s="264"/>
      <c r="H31" s="264"/>
      <c r="I31" s="264"/>
      <c r="J31" s="264"/>
      <c r="K31" s="264"/>
      <c r="L31" s="264"/>
      <c r="M31" s="264"/>
      <c r="N31" s="264"/>
      <c r="O31" s="264"/>
      <c r="P31" s="264"/>
      <c r="Q31" s="264"/>
      <c r="R31" s="264"/>
      <c r="S31" s="264"/>
    </row>
    <row r="32" spans="1:19">
      <c r="A32" s="264"/>
      <c r="B32" s="264"/>
      <c r="C32" s="3"/>
      <c r="D32" s="264"/>
      <c r="E32" s="3"/>
      <c r="F32" s="264"/>
      <c r="G32" s="3"/>
      <c r="H32" s="264"/>
      <c r="I32" s="3"/>
      <c r="J32" s="264"/>
      <c r="K32" s="264"/>
      <c r="L32" s="264"/>
      <c r="M32" s="264"/>
      <c r="N32" s="264"/>
      <c r="O32" s="264"/>
      <c r="P32" s="264"/>
      <c r="Q32" s="264"/>
      <c r="R32" s="264"/>
      <c r="S32" s="264"/>
    </row>
    <row r="33" spans="1:19">
      <c r="A33" s="264"/>
      <c r="B33" s="264"/>
      <c r="C33" s="799" t="s">
        <v>3966</v>
      </c>
      <c r="D33" s="271"/>
      <c r="E33" s="445"/>
      <c r="F33" s="799" t="s">
        <v>3967</v>
      </c>
      <c r="G33" s="445"/>
      <c r="H33" s="271"/>
      <c r="I33" s="799" t="s">
        <v>3968</v>
      </c>
      <c r="J33" s="264"/>
      <c r="K33" s="264"/>
      <c r="L33" s="264"/>
      <c r="M33" s="264"/>
      <c r="N33" s="264"/>
      <c r="O33" s="264"/>
      <c r="P33" s="264"/>
      <c r="Q33" s="264"/>
      <c r="R33" s="264"/>
      <c r="S33" s="264"/>
    </row>
    <row r="34" spans="1:19">
      <c r="A34" s="264"/>
      <c r="B34" s="264"/>
      <c r="C34" s="264"/>
      <c r="D34" s="264"/>
      <c r="E34" s="264"/>
      <c r="F34" s="264"/>
      <c r="G34" s="211" t="s">
        <v>3005</v>
      </c>
      <c r="H34" s="264"/>
      <c r="I34" s="272" t="s">
        <v>3003</v>
      </c>
      <c r="J34" s="264"/>
      <c r="K34" s="264"/>
      <c r="L34" s="264"/>
      <c r="M34" s="264"/>
      <c r="N34" s="264"/>
      <c r="O34" s="264"/>
      <c r="P34" s="264"/>
      <c r="Q34" s="264"/>
      <c r="R34" s="264"/>
      <c r="S34" s="264"/>
    </row>
    <row r="35" spans="1:19">
      <c r="A35" s="264"/>
      <c r="B35" s="264"/>
      <c r="C35" s="279"/>
      <c r="D35" s="272"/>
      <c r="E35" s="190"/>
      <c r="F35" s="272"/>
      <c r="G35" s="190"/>
      <c r="H35" s="272"/>
      <c r="I35" s="272"/>
      <c r="J35" s="264"/>
      <c r="K35" s="264"/>
      <c r="L35" s="264"/>
      <c r="M35" s="264"/>
      <c r="N35" s="264"/>
      <c r="O35" s="264"/>
      <c r="P35" s="264"/>
      <c r="Q35" s="264"/>
      <c r="R35" s="264"/>
      <c r="S35" s="264"/>
    </row>
    <row r="36" spans="1:19">
      <c r="A36" s="264"/>
      <c r="B36" s="264" t="str">
        <f>'Axis Data'!P1</f>
        <v>A-83842-03/22</v>
      </c>
      <c r="C36" s="384"/>
      <c r="D36" s="272"/>
      <c r="E36" s="272"/>
      <c r="F36" s="272"/>
      <c r="G36" s="272"/>
      <c r="H36" s="272"/>
      <c r="I36" s="272"/>
      <c r="J36" s="264"/>
      <c r="K36" s="264"/>
      <c r="L36" s="264"/>
      <c r="M36" s="275"/>
      <c r="N36" s="264"/>
      <c r="O36" s="264"/>
      <c r="P36" s="264"/>
      <c r="Q36" s="264"/>
      <c r="R36" s="264"/>
      <c r="S36" s="264"/>
    </row>
    <row r="37" spans="1:19">
      <c r="A37" s="264"/>
      <c r="B37" s="273"/>
      <c r="C37" s="382"/>
      <c r="D37" s="274"/>
      <c r="E37" s="274"/>
      <c r="F37" s="274"/>
      <c r="G37" s="275"/>
      <c r="H37" s="192"/>
      <c r="I37" s="264"/>
      <c r="J37" s="264"/>
      <c r="K37" s="264"/>
      <c r="L37" s="264"/>
      <c r="M37" s="275"/>
      <c r="N37" s="264"/>
      <c r="O37" s="264"/>
      <c r="P37" s="264"/>
      <c r="Q37" s="264"/>
      <c r="R37" s="264"/>
      <c r="S37" s="264"/>
    </row>
    <row r="38" spans="1:19">
      <c r="A38" s="264"/>
      <c r="B38" s="264"/>
      <c r="C38" s="264"/>
      <c r="D38" s="264"/>
      <c r="E38" s="264"/>
      <c r="F38" s="264"/>
      <c r="G38" s="275"/>
      <c r="H38" s="192"/>
      <c r="I38" s="264"/>
      <c r="J38" s="264"/>
      <c r="K38" s="264"/>
      <c r="L38" s="264"/>
      <c r="M38" s="264"/>
      <c r="N38" s="264"/>
      <c r="O38" s="264"/>
      <c r="P38" s="264"/>
      <c r="Q38" s="264"/>
      <c r="R38" s="264"/>
      <c r="S38" s="264"/>
    </row>
    <row r="39" spans="1:19">
      <c r="A39" s="264"/>
      <c r="B39" s="264"/>
      <c r="C39" s="264"/>
      <c r="D39" s="264"/>
      <c r="E39" s="264"/>
      <c r="F39" s="264"/>
      <c r="G39" s="275"/>
      <c r="H39" s="192"/>
      <c r="I39" s="264"/>
      <c r="J39" s="264"/>
      <c r="K39" s="264"/>
      <c r="L39" s="264"/>
      <c r="M39" s="264"/>
      <c r="N39" s="264"/>
      <c r="O39" s="264"/>
      <c r="P39" s="264"/>
      <c r="Q39" s="264"/>
      <c r="R39" s="264"/>
      <c r="S39" s="264"/>
    </row>
    <row r="40" spans="1:19">
      <c r="B40" s="264"/>
      <c r="C40" s="264"/>
      <c r="D40" s="264"/>
      <c r="E40" s="264"/>
      <c r="F40" s="264"/>
      <c r="G40" s="275"/>
      <c r="H40" s="192"/>
      <c r="I40" s="264"/>
    </row>
    <row r="41" spans="1:19">
      <c r="B41" s="264"/>
      <c r="C41" s="264"/>
      <c r="D41" s="264"/>
      <c r="E41" s="264"/>
      <c r="F41" s="264"/>
      <c r="G41" s="275"/>
      <c r="H41" s="192"/>
      <c r="I41" s="264"/>
    </row>
    <row r="42" spans="1:19">
      <c r="B42" s="264"/>
      <c r="C42" s="264"/>
      <c r="D42" s="264"/>
      <c r="E42" s="264"/>
      <c r="F42" s="264"/>
      <c r="G42" s="264"/>
      <c r="H42" s="264"/>
      <c r="I42" s="264"/>
    </row>
    <row r="43" spans="1:19">
      <c r="B43" s="264"/>
      <c r="C43" s="264"/>
      <c r="D43" s="264"/>
      <c r="E43" s="264"/>
      <c r="F43" s="264"/>
      <c r="G43" s="264"/>
      <c r="H43" s="264"/>
      <c r="I43" s="264"/>
    </row>
    <row r="44" spans="1:19">
      <c r="B44" s="264"/>
      <c r="C44" s="264"/>
      <c r="D44" s="264"/>
      <c r="E44" s="264"/>
      <c r="F44" s="264"/>
      <c r="G44" s="264"/>
      <c r="H44" s="264"/>
      <c r="I44" s="264"/>
    </row>
    <row r="45" spans="1:19">
      <c r="B45" s="264"/>
      <c r="C45" s="264"/>
      <c r="D45" s="264"/>
      <c r="E45" s="264"/>
      <c r="F45" s="264"/>
      <c r="G45" s="264"/>
      <c r="H45" s="264"/>
      <c r="I45" s="264"/>
    </row>
    <row r="46" spans="1:19">
      <c r="B46" s="264"/>
      <c r="C46" s="264"/>
      <c r="D46" s="264"/>
      <c r="E46" s="264"/>
      <c r="F46" s="264"/>
      <c r="G46" s="264"/>
      <c r="H46" s="264"/>
      <c r="I46" s="264"/>
    </row>
    <row r="47" spans="1:19">
      <c r="B47" s="264"/>
      <c r="C47" s="264"/>
      <c r="D47" s="264"/>
      <c r="E47" s="264"/>
      <c r="F47" s="264"/>
      <c r="G47" s="264"/>
      <c r="H47" s="264"/>
      <c r="I47" s="264"/>
    </row>
    <row r="48" spans="1:19">
      <c r="B48" s="264"/>
      <c r="C48" s="264"/>
      <c r="D48" s="264"/>
      <c r="E48" s="264"/>
      <c r="F48" s="264"/>
      <c r="G48" s="264"/>
      <c r="H48" s="264"/>
      <c r="I48" s="264"/>
    </row>
  </sheetData>
  <sheetProtection password="D4C7" sheet="1" objects="1" scenarios="1" selectLockedCells="1"/>
  <mergeCells count="13">
    <mergeCell ref="B3:I3"/>
    <mergeCell ref="C5:F5"/>
    <mergeCell ref="G5:I5"/>
    <mergeCell ref="G6:I6"/>
    <mergeCell ref="C6:F6"/>
    <mergeCell ref="C10:F10"/>
    <mergeCell ref="G7:I7"/>
    <mergeCell ref="G8:I8"/>
    <mergeCell ref="G9:I9"/>
    <mergeCell ref="G10:I10"/>
    <mergeCell ref="C7:F7"/>
    <mergeCell ref="C8:F8"/>
    <mergeCell ref="C9:F9"/>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L33"/>
  <sheetViews>
    <sheetView showGridLines="0" showRowColHeaders="0" workbookViewId="0">
      <selection activeCell="E22" sqref="E22"/>
    </sheetView>
  </sheetViews>
  <sheetFormatPr baseColWidth="10" defaultColWidth="9.33203125" defaultRowHeight="12.75"/>
  <cols>
    <col min="2" max="2" width="3.5" customWidth="1"/>
    <col min="3" max="3" width="4.1640625" customWidth="1"/>
    <col min="4" max="4" width="29.83203125" bestFit="1" customWidth="1"/>
    <col min="5" max="5" width="15.1640625" customWidth="1"/>
    <col min="7" max="7" width="5.1640625" customWidth="1"/>
  </cols>
  <sheetData>
    <row r="1" spans="1:12">
      <c r="B1" s="3"/>
    </row>
    <row r="2" spans="1:12" ht="20.25">
      <c r="A2" s="345"/>
      <c r="B2" s="345"/>
      <c r="C2" s="95" t="s">
        <v>884</v>
      </c>
      <c r="D2" s="345"/>
      <c r="E2" s="345"/>
      <c r="F2" s="345"/>
      <c r="G2" s="345"/>
      <c r="H2" s="345"/>
      <c r="I2" s="345"/>
    </row>
    <row r="3" spans="1:12" ht="14.25" thickBot="1">
      <c r="A3" s="345"/>
      <c r="B3" s="345"/>
      <c r="C3" s="345"/>
      <c r="D3" s="345"/>
      <c r="E3" s="345"/>
      <c r="F3" s="345"/>
      <c r="G3" s="345"/>
      <c r="H3" s="345"/>
      <c r="I3" s="345"/>
      <c r="L3" s="3"/>
    </row>
    <row r="4" spans="1:12" ht="13.5">
      <c r="A4" s="345"/>
      <c r="B4" s="346"/>
      <c r="C4" s="347"/>
      <c r="D4" s="347"/>
      <c r="E4" s="347"/>
      <c r="F4" s="347"/>
      <c r="G4" s="348"/>
      <c r="H4" s="345"/>
      <c r="I4" s="345"/>
    </row>
    <row r="5" spans="1:12" ht="13.5">
      <c r="A5" s="345"/>
      <c r="B5" s="349"/>
      <c r="C5" s="350" t="s">
        <v>2395</v>
      </c>
      <c r="D5" s="350"/>
      <c r="E5" s="350"/>
      <c r="F5" s="351" t="s">
        <v>464</v>
      </c>
      <c r="G5" s="352"/>
      <c r="H5" s="345"/>
      <c r="I5" s="345"/>
    </row>
    <row r="6" spans="1:12" ht="13.5">
      <c r="A6" s="345"/>
      <c r="B6" s="353"/>
      <c r="C6" s="354"/>
      <c r="D6" s="354"/>
      <c r="E6" s="354"/>
      <c r="F6" s="354"/>
      <c r="G6" s="355"/>
      <c r="H6" s="345"/>
      <c r="I6" s="345"/>
    </row>
    <row r="7" spans="1:12" ht="13.5">
      <c r="A7" s="345"/>
      <c r="B7" s="353"/>
      <c r="C7" s="354"/>
      <c r="D7" s="354" t="s">
        <v>363</v>
      </c>
      <c r="E7" s="354"/>
      <c r="F7" s="354"/>
      <c r="G7" s="355"/>
      <c r="H7" s="345"/>
      <c r="I7" s="345"/>
    </row>
    <row r="8" spans="1:12" ht="13.5">
      <c r="A8" s="345"/>
      <c r="B8" s="353"/>
      <c r="C8" s="356">
        <v>1</v>
      </c>
      <c r="D8" s="354" t="s">
        <v>3153</v>
      </c>
      <c r="E8" s="354" t="s">
        <v>3154</v>
      </c>
      <c r="F8" s="354"/>
      <c r="G8" s="355"/>
      <c r="H8" s="345"/>
      <c r="I8" s="345"/>
    </row>
    <row r="9" spans="1:12" ht="13.5">
      <c r="A9" s="345"/>
      <c r="B9" s="353"/>
      <c r="C9" s="356">
        <v>2</v>
      </c>
      <c r="D9" s="354" t="s">
        <v>1011</v>
      </c>
      <c r="E9" s="354" t="s">
        <v>1012</v>
      </c>
      <c r="F9" s="357">
        <f>IF(Load_Set_1=FALSE,"-",Load_Set_1)</f>
        <v>115</v>
      </c>
      <c r="G9" s="355"/>
      <c r="H9" s="345"/>
      <c r="I9" s="345"/>
    </row>
    <row r="10" spans="1:12" ht="13.5">
      <c r="A10" s="345"/>
      <c r="B10" s="353"/>
      <c r="C10" s="356">
        <v>3</v>
      </c>
      <c r="D10" s="354" t="s">
        <v>3756</v>
      </c>
      <c r="E10" s="354" t="str">
        <f>IF($E$22=TRUE,"[m]","[cm]")</f>
        <v>[cm]</v>
      </c>
      <c r="F10" s="357">
        <f>IF(Load_Set_2=FALSE,"-",IF($E$22=TRUE,Load_Set_2/100,Load_Set_2))</f>
        <v>-8.92</v>
      </c>
      <c r="G10" s="355"/>
      <c r="H10" s="345"/>
      <c r="I10" s="345"/>
    </row>
    <row r="11" spans="1:12" ht="13.5">
      <c r="A11" s="345"/>
      <c r="B11" s="353"/>
      <c r="C11" s="356">
        <v>4</v>
      </c>
      <c r="D11" s="354" t="s">
        <v>3011</v>
      </c>
      <c r="E11" s="354" t="str">
        <f>IF($E$22=TRUE,"[m]","[cm]")</f>
        <v>[cm]</v>
      </c>
      <c r="F11" s="357">
        <f>IF(Load_Set_3=FALSE,"-",IF($E$22=TRUE,Load_Set_3/100,Load_Set_3))</f>
        <v>0.374</v>
      </c>
      <c r="G11" s="355"/>
      <c r="H11" s="345"/>
      <c r="I11" s="345"/>
    </row>
    <row r="12" spans="1:12" ht="13.5">
      <c r="A12" s="345"/>
      <c r="B12" s="447"/>
      <c r="C12" s="356">
        <v>5</v>
      </c>
      <c r="D12" s="354" t="s">
        <v>350</v>
      </c>
      <c r="E12" s="354" t="str">
        <f>IF($E$22=TRUE,"[m]","[cm]")</f>
        <v>[cm]</v>
      </c>
      <c r="F12" s="357">
        <f>IF(Load_Set_4=FALSE,"-",IF($E$22=TRUE,Load_Set_4/100,Load_Set_4))</f>
        <v>18.475000000000001</v>
      </c>
      <c r="G12" s="355"/>
      <c r="H12" s="345"/>
      <c r="I12" s="345"/>
    </row>
    <row r="13" spans="1:12" ht="13.5">
      <c r="A13" s="345"/>
      <c r="B13" s="353"/>
      <c r="C13" s="356">
        <v>6</v>
      </c>
      <c r="D13" s="354" t="s">
        <v>1116</v>
      </c>
      <c r="E13" s="354" t="str">
        <f>IF($E$22=TRUE,"[kgm^2]","[kgfcms^2]")</f>
        <v>[kgfcms^2]</v>
      </c>
      <c r="F13" s="357">
        <f>IF(Load_Set_5=FALSE,"-",IF($E$22=TRUE,Load_Set_5*0.098,Load_Set_5))</f>
        <v>147.595</v>
      </c>
      <c r="G13" s="355"/>
      <c r="H13" s="345"/>
      <c r="I13" s="345"/>
    </row>
    <row r="14" spans="1:12" ht="13.5">
      <c r="A14" s="345"/>
      <c r="B14" s="353"/>
      <c r="C14" s="356">
        <v>7</v>
      </c>
      <c r="D14" s="354" t="s">
        <v>1847</v>
      </c>
      <c r="E14" s="354" t="str">
        <f>IF($E$22=TRUE,"[kgm^2]","[kgfcms^2]")</f>
        <v>[kgfcms^2]</v>
      </c>
      <c r="F14" s="357">
        <f>IF(Load_Set_6=FALSE,"-",IF($E$22=TRUE,Load_Set_6*0.098,Load_Set_6))</f>
        <v>115.547</v>
      </c>
      <c r="G14" s="355"/>
      <c r="H14" s="345"/>
      <c r="I14" s="345"/>
    </row>
    <row r="15" spans="1:12" ht="13.5">
      <c r="A15" s="345"/>
      <c r="B15" s="353"/>
      <c r="C15" s="356">
        <v>8</v>
      </c>
      <c r="D15" s="354" t="s">
        <v>3012</v>
      </c>
      <c r="E15" s="354" t="str">
        <f>IF($E$22=TRUE,"[kgm^2]","[kgfcms^2]")</f>
        <v>[kgfcms^2]</v>
      </c>
      <c r="F15" s="357">
        <f>IF(Load_Set_7=FALSE,"-",IF($E$22=TRUE,Load_Set_7*0.098,Load_Set_7))</f>
        <v>77.305000000000007</v>
      </c>
      <c r="G15" s="355"/>
      <c r="H15" s="345"/>
      <c r="I15" s="345"/>
    </row>
    <row r="16" spans="1:12" ht="13.5">
      <c r="A16" s="345"/>
      <c r="B16" s="353"/>
      <c r="C16" s="354"/>
      <c r="D16" s="354"/>
      <c r="E16" s="354"/>
      <c r="F16" s="354"/>
      <c r="G16" s="355"/>
      <c r="H16" s="345"/>
      <c r="I16" s="345"/>
    </row>
    <row r="17" spans="1:9" ht="13.5">
      <c r="A17" s="345"/>
      <c r="B17" s="353"/>
      <c r="C17" s="354" t="s">
        <v>3343</v>
      </c>
      <c r="D17" s="354"/>
      <c r="E17" s="354"/>
      <c r="F17" s="354"/>
      <c r="G17" s="355"/>
      <c r="H17" s="345"/>
      <c r="I17" s="345"/>
    </row>
    <row r="18" spans="1:9" ht="14.25" thickBot="1">
      <c r="A18" s="345"/>
      <c r="B18" s="358"/>
      <c r="C18" s="359"/>
      <c r="D18" s="359"/>
      <c r="E18" s="359"/>
      <c r="F18" s="359"/>
      <c r="G18" s="360"/>
      <c r="H18" s="345"/>
      <c r="I18" s="345"/>
    </row>
    <row r="19" spans="1:9" ht="13.5">
      <c r="A19" s="345"/>
      <c r="B19" s="345"/>
      <c r="C19" s="345"/>
      <c r="D19" s="345"/>
      <c r="E19" s="345"/>
      <c r="F19" s="345"/>
      <c r="G19" s="345"/>
      <c r="H19" s="345"/>
      <c r="I19" s="345"/>
    </row>
    <row r="20" spans="1:9" ht="13.5">
      <c r="A20" s="345"/>
      <c r="B20" s="345"/>
      <c r="C20" s="345"/>
      <c r="D20" s="345"/>
      <c r="E20" s="345"/>
      <c r="F20" s="345"/>
      <c r="G20" s="345"/>
      <c r="H20" s="345"/>
      <c r="I20" s="345"/>
    </row>
    <row r="21" spans="1:9" ht="13.5">
      <c r="A21" s="345"/>
      <c r="B21" s="345"/>
      <c r="C21" s="345"/>
      <c r="D21" s="345"/>
      <c r="E21" s="345"/>
      <c r="F21" s="345"/>
      <c r="G21" s="345"/>
      <c r="H21" s="345"/>
      <c r="I21" s="345"/>
    </row>
    <row r="22" spans="1:9" ht="15">
      <c r="A22" s="345"/>
      <c r="B22" s="707"/>
      <c r="C22" s="708"/>
      <c r="D22" s="709" t="s">
        <v>3072</v>
      </c>
      <c r="E22" s="710" t="b">
        <v>0</v>
      </c>
      <c r="F22" s="345"/>
      <c r="G22" s="345"/>
      <c r="H22" s="345"/>
      <c r="I22" s="345"/>
    </row>
    <row r="23" spans="1:9" ht="13.5">
      <c r="A23" s="345"/>
      <c r="B23" s="345"/>
      <c r="C23" s="345"/>
      <c r="D23" s="345"/>
      <c r="E23" s="345"/>
      <c r="F23" s="345"/>
      <c r="G23" s="345"/>
      <c r="H23" s="345"/>
      <c r="I23" s="345"/>
    </row>
    <row r="25" spans="1:9" ht="13.5">
      <c r="C25" s="345"/>
    </row>
    <row r="26" spans="1:9" ht="13.5">
      <c r="C26" s="345"/>
    </row>
    <row r="28" spans="1:9" ht="13.5">
      <c r="C28" s="345"/>
    </row>
    <row r="29" spans="1:9" ht="13.5">
      <c r="C29" s="345"/>
    </row>
    <row r="30" spans="1:9" ht="13.5">
      <c r="C30" s="345"/>
    </row>
    <row r="31" spans="1:9" ht="13.5">
      <c r="C31" s="345"/>
    </row>
    <row r="33" spans="3:9">
      <c r="C33" s="3"/>
      <c r="F33" s="3"/>
      <c r="I33" s="3"/>
    </row>
  </sheetData>
  <sheetProtection password="D4C7" sheet="1" objects="1" scenarios="1" selectLockedCells="1"/>
  <phoneticPr fontId="19"/>
  <dataValidations count="1">
    <dataValidation type="list" allowBlank="1" showInputMessage="1" showErrorMessage="1" sqref="E22">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EX121"/>
  <sheetViews>
    <sheetView showGridLines="0" view="pageBreakPreview" zoomScale="75" zoomScaleNormal="50" workbookViewId="0">
      <selection activeCell="B10" sqref="B10"/>
    </sheetView>
  </sheetViews>
  <sheetFormatPr baseColWidth="10" defaultColWidth="9.33203125" defaultRowHeight="12.75"/>
  <cols>
    <col min="1" max="1" width="5.1640625" style="291" customWidth="1"/>
    <col min="2" max="3" width="11.83203125" style="291" customWidth="1"/>
    <col min="4" max="4" width="15" style="291" customWidth="1"/>
    <col min="5" max="5" width="17.83203125" style="291" customWidth="1"/>
    <col min="6" max="12" width="11.83203125" style="291" customWidth="1"/>
    <col min="13" max="13" width="12.33203125" style="292" customWidth="1"/>
    <col min="14" max="14" width="30.83203125" style="292" customWidth="1"/>
    <col min="15" max="20" width="11.83203125" style="291" customWidth="1"/>
    <col min="21" max="21" width="11.83203125" style="321" customWidth="1"/>
    <col min="22" max="22" width="10.6640625" style="321" bestFit="1" customWidth="1"/>
    <col min="23" max="23" width="11.1640625" style="366" bestFit="1" customWidth="1"/>
    <col min="24" max="26" width="11" style="366" bestFit="1" customWidth="1"/>
    <col min="27" max="29" width="10.83203125" style="366" customWidth="1"/>
    <col min="30" max="30" width="6.6640625" style="731" bestFit="1" customWidth="1"/>
    <col min="31" max="153" width="9.33203125" style="731"/>
    <col min="154" max="16384" width="9.33203125" style="294"/>
  </cols>
  <sheetData>
    <row r="1" spans="1:153" s="1" customFormat="1" ht="20.25">
      <c r="A1" s="800" t="s">
        <v>3969</v>
      </c>
      <c r="B1" s="291"/>
      <c r="C1" s="291"/>
      <c r="D1" s="291"/>
      <c r="E1" s="291"/>
      <c r="F1" s="291"/>
      <c r="G1" s="291"/>
      <c r="H1" s="291"/>
      <c r="I1" s="291"/>
      <c r="J1" s="291"/>
      <c r="K1" s="291"/>
      <c r="L1" s="291"/>
      <c r="M1" s="292"/>
      <c r="N1" s="292"/>
      <c r="O1" s="291"/>
      <c r="P1" s="291"/>
      <c r="Q1" s="291"/>
      <c r="R1" s="291"/>
      <c r="S1" s="291"/>
      <c r="T1" s="291"/>
      <c r="U1" s="321"/>
      <c r="V1" s="321"/>
      <c r="W1" s="366"/>
      <c r="X1" s="366"/>
      <c r="Y1" s="366"/>
      <c r="Z1" s="366"/>
      <c r="AA1" s="366"/>
      <c r="AB1" s="366"/>
      <c r="AC1" s="366"/>
      <c r="AD1" s="731"/>
      <c r="AE1" s="731"/>
      <c r="AF1" s="731"/>
      <c r="AG1" s="731"/>
      <c r="AH1" s="731"/>
      <c r="AI1" s="731"/>
      <c r="AJ1" s="731"/>
      <c r="AK1" s="731"/>
      <c r="AL1" s="731"/>
      <c r="AM1" s="731"/>
      <c r="AN1" s="731"/>
      <c r="AO1" s="731"/>
      <c r="AP1" s="731"/>
      <c r="AQ1" s="731"/>
      <c r="AR1" s="731"/>
      <c r="AS1" s="731"/>
      <c r="AT1" s="731"/>
      <c r="AU1" s="731"/>
      <c r="AV1" s="731"/>
      <c r="AW1" s="731"/>
      <c r="AX1" s="731"/>
      <c r="AY1" s="731"/>
      <c r="AZ1" s="731"/>
      <c r="BA1" s="731"/>
      <c r="BB1" s="731"/>
      <c r="BC1" s="731"/>
      <c r="BD1" s="731"/>
      <c r="BE1" s="731"/>
      <c r="BF1" s="731"/>
      <c r="BG1" s="731"/>
      <c r="BH1" s="731"/>
      <c r="BI1" s="731"/>
      <c r="BJ1" s="731"/>
      <c r="BK1" s="731"/>
      <c r="BL1" s="731"/>
      <c r="BM1" s="731"/>
      <c r="BN1" s="731"/>
      <c r="BO1" s="731"/>
      <c r="BP1" s="731"/>
      <c r="BQ1" s="731"/>
      <c r="BR1" s="731"/>
      <c r="BS1" s="731"/>
      <c r="BT1" s="731"/>
      <c r="BU1" s="731"/>
      <c r="BV1" s="731"/>
      <c r="BW1" s="731"/>
      <c r="BX1" s="731"/>
      <c r="BY1" s="731"/>
      <c r="BZ1" s="731"/>
      <c r="CA1" s="731"/>
      <c r="CB1" s="731"/>
      <c r="CC1" s="731"/>
      <c r="CD1" s="731"/>
      <c r="CE1" s="731"/>
      <c r="CF1" s="731"/>
      <c r="CG1" s="731"/>
      <c r="CH1" s="731"/>
      <c r="CI1" s="731"/>
      <c r="CJ1" s="731"/>
      <c r="CK1" s="731"/>
      <c r="CL1" s="731"/>
      <c r="CM1" s="731"/>
      <c r="CN1" s="731"/>
      <c r="CO1" s="731"/>
      <c r="CP1" s="731"/>
      <c r="CQ1" s="731"/>
      <c r="CR1" s="731"/>
      <c r="CS1" s="731"/>
      <c r="CT1" s="731"/>
      <c r="CU1" s="731"/>
      <c r="CV1" s="731"/>
      <c r="CW1" s="731"/>
      <c r="CX1" s="731"/>
      <c r="CY1" s="731"/>
      <c r="CZ1" s="731"/>
      <c r="DA1" s="731"/>
      <c r="DB1" s="731"/>
      <c r="DC1" s="731"/>
      <c r="DD1" s="731"/>
      <c r="DE1" s="731"/>
      <c r="DF1" s="731"/>
      <c r="DG1" s="731"/>
      <c r="DH1" s="731"/>
      <c r="DI1" s="731"/>
      <c r="DJ1" s="731"/>
      <c r="DK1" s="731"/>
      <c r="DL1" s="731"/>
      <c r="DM1" s="731"/>
      <c r="DN1" s="731"/>
      <c r="DO1" s="731"/>
      <c r="DP1" s="731"/>
      <c r="DQ1" s="731"/>
      <c r="DR1" s="731"/>
      <c r="DS1" s="731"/>
      <c r="DT1" s="731"/>
      <c r="DU1" s="731"/>
      <c r="DV1" s="731"/>
      <c r="DW1" s="731"/>
      <c r="DX1" s="731"/>
      <c r="DY1" s="731"/>
      <c r="DZ1" s="731"/>
      <c r="EA1" s="731"/>
      <c r="EB1" s="731"/>
      <c r="EC1" s="731"/>
      <c r="ED1" s="731"/>
      <c r="EE1" s="731"/>
      <c r="EF1" s="731"/>
      <c r="EG1" s="731"/>
      <c r="EH1" s="731"/>
      <c r="EI1" s="731"/>
      <c r="EJ1" s="731"/>
      <c r="EK1" s="731"/>
      <c r="EL1" s="731"/>
      <c r="EM1" s="731"/>
      <c r="EN1" s="731"/>
      <c r="EO1" s="731"/>
      <c r="EP1" s="731"/>
      <c r="EQ1" s="731"/>
      <c r="ER1" s="731"/>
      <c r="ES1" s="731"/>
      <c r="ET1" s="731"/>
      <c r="EU1" s="731"/>
      <c r="EV1" s="731"/>
      <c r="EW1" s="731"/>
    </row>
    <row r="3" spans="1:153">
      <c r="A3" s="801" t="s">
        <v>3970</v>
      </c>
      <c r="B3" s="314"/>
      <c r="C3" s="315"/>
      <c r="D3" s="316"/>
      <c r="E3" s="317"/>
      <c r="F3" s="317"/>
      <c r="G3" s="317"/>
      <c r="H3" s="317"/>
      <c r="I3" s="317"/>
      <c r="J3" s="317"/>
      <c r="K3" s="317"/>
      <c r="L3" s="318"/>
      <c r="O3" s="319"/>
      <c r="P3" s="319"/>
      <c r="Q3" s="319"/>
      <c r="R3" s="319"/>
      <c r="S3" s="319"/>
    </row>
    <row r="4" spans="1:153">
      <c r="A4" s="801" t="s">
        <v>3971</v>
      </c>
      <c r="B4" s="314"/>
      <c r="C4" s="315"/>
      <c r="D4" s="316"/>
      <c r="E4" s="317"/>
      <c r="F4" s="317"/>
      <c r="G4" s="317"/>
      <c r="H4" s="317"/>
      <c r="I4" s="317"/>
      <c r="J4" s="317"/>
      <c r="K4" s="317"/>
      <c r="L4" s="318"/>
      <c r="O4" s="319"/>
      <c r="P4" s="319"/>
      <c r="Q4" s="319"/>
      <c r="R4" s="319"/>
      <c r="S4" s="319"/>
    </row>
    <row r="5" spans="1:153">
      <c r="A5" s="801" t="s">
        <v>3972</v>
      </c>
      <c r="B5" s="314"/>
      <c r="C5" s="315"/>
      <c r="D5" s="316"/>
      <c r="E5" s="317"/>
      <c r="F5" s="317"/>
      <c r="G5" s="317"/>
      <c r="H5" s="317"/>
      <c r="I5" s="317"/>
      <c r="J5" s="317"/>
      <c r="K5" s="317"/>
      <c r="L5" s="318"/>
      <c r="O5" s="319"/>
      <c r="P5" s="319"/>
      <c r="Q5" s="319"/>
      <c r="R5" s="319"/>
      <c r="S5" s="319"/>
    </row>
    <row r="6" spans="1:153" s="296" customFormat="1">
      <c r="A6" s="291"/>
      <c r="B6" s="291"/>
      <c r="C6" s="295"/>
      <c r="D6" s="319"/>
      <c r="E6" s="319"/>
      <c r="F6" s="319"/>
      <c r="G6" s="319"/>
      <c r="H6" s="291"/>
      <c r="I6" s="291"/>
      <c r="J6" s="291"/>
      <c r="K6" s="291"/>
      <c r="L6" s="291"/>
      <c r="M6" s="292"/>
      <c r="N6" s="292"/>
      <c r="O6" s="291"/>
      <c r="P6" s="291"/>
      <c r="Q6" s="291"/>
      <c r="R6" s="291"/>
      <c r="S6" s="291"/>
      <c r="T6" s="291"/>
      <c r="U6" s="322"/>
      <c r="V6" s="322"/>
      <c r="W6" s="367"/>
      <c r="X6" s="367"/>
      <c r="Y6" s="367"/>
      <c r="Z6" s="367"/>
      <c r="AA6" s="367"/>
      <c r="AB6" s="367"/>
      <c r="AC6" s="367"/>
      <c r="AD6" s="732"/>
      <c r="AE6" s="732"/>
      <c r="AF6" s="732"/>
      <c r="AG6" s="732"/>
      <c r="AH6" s="732"/>
      <c r="AI6" s="732"/>
      <c r="AJ6" s="732"/>
      <c r="AK6" s="732"/>
      <c r="AL6" s="732"/>
      <c r="AM6" s="732"/>
      <c r="AN6" s="732"/>
      <c r="AO6" s="732"/>
      <c r="AP6" s="732"/>
      <c r="AQ6" s="732"/>
      <c r="AR6" s="732"/>
      <c r="AS6" s="732"/>
      <c r="AT6" s="732"/>
      <c r="AU6" s="732"/>
      <c r="AV6" s="732"/>
      <c r="AW6" s="732"/>
      <c r="AX6" s="732"/>
      <c r="AY6" s="732"/>
      <c r="AZ6" s="732"/>
      <c r="BA6" s="732"/>
      <c r="BB6" s="732"/>
      <c r="BC6" s="732"/>
      <c r="BD6" s="732"/>
      <c r="BE6" s="732"/>
      <c r="BF6" s="732"/>
      <c r="BG6" s="732"/>
      <c r="BH6" s="732"/>
      <c r="BI6" s="732"/>
      <c r="BJ6" s="732"/>
      <c r="BK6" s="732"/>
      <c r="BL6" s="732"/>
      <c r="BM6" s="732"/>
      <c r="BN6" s="732"/>
      <c r="BO6" s="732"/>
      <c r="BP6" s="732"/>
      <c r="BQ6" s="732"/>
      <c r="BR6" s="732"/>
      <c r="BS6" s="732"/>
      <c r="BT6" s="732"/>
      <c r="BU6" s="732"/>
      <c r="BV6" s="732"/>
      <c r="BW6" s="732"/>
      <c r="BX6" s="732"/>
      <c r="BY6" s="732"/>
      <c r="BZ6" s="732"/>
      <c r="CA6" s="732"/>
      <c r="CB6" s="732"/>
      <c r="CC6" s="732"/>
      <c r="CD6" s="732"/>
      <c r="CE6" s="732"/>
      <c r="CF6" s="732"/>
      <c r="CG6" s="732"/>
      <c r="CH6" s="732"/>
      <c r="CI6" s="732"/>
      <c r="CJ6" s="732"/>
      <c r="CK6" s="732"/>
      <c r="CL6" s="732"/>
      <c r="CM6" s="732"/>
      <c r="CN6" s="732"/>
      <c r="CO6" s="732"/>
      <c r="CP6" s="732"/>
      <c r="CQ6" s="732"/>
      <c r="CR6" s="732"/>
      <c r="CS6" s="732"/>
      <c r="CT6" s="732"/>
      <c r="CU6" s="732"/>
      <c r="CV6" s="732"/>
      <c r="CW6" s="732"/>
      <c r="CX6" s="732"/>
      <c r="CY6" s="732"/>
      <c r="CZ6" s="732"/>
      <c r="DA6" s="732"/>
      <c r="DB6" s="732"/>
      <c r="DC6" s="732"/>
      <c r="DD6" s="732"/>
      <c r="DE6" s="732"/>
      <c r="DF6" s="732"/>
      <c r="DG6" s="732"/>
      <c r="DH6" s="732"/>
      <c r="DI6" s="732"/>
      <c r="DJ6" s="732"/>
      <c r="DK6" s="732"/>
      <c r="DL6" s="732"/>
      <c r="DM6" s="732"/>
      <c r="DN6" s="732"/>
      <c r="DO6" s="732"/>
      <c r="DP6" s="732"/>
      <c r="DQ6" s="732"/>
      <c r="DR6" s="732"/>
      <c r="DS6" s="732"/>
      <c r="DT6" s="732"/>
      <c r="DU6" s="732"/>
      <c r="DV6" s="732"/>
      <c r="DW6" s="732"/>
      <c r="DX6" s="732"/>
      <c r="DY6" s="732"/>
      <c r="DZ6" s="732"/>
      <c r="EA6" s="732"/>
      <c r="EB6" s="732"/>
      <c r="EC6" s="732"/>
      <c r="ED6" s="732"/>
      <c r="EE6" s="732"/>
      <c r="EF6" s="732"/>
      <c r="EG6" s="732"/>
      <c r="EH6" s="732"/>
      <c r="EI6" s="732"/>
      <c r="EJ6" s="732"/>
      <c r="EK6" s="732"/>
      <c r="EL6" s="732"/>
      <c r="EM6" s="732"/>
      <c r="EN6" s="732"/>
      <c r="EO6" s="732"/>
      <c r="EP6" s="732"/>
      <c r="EQ6" s="732"/>
      <c r="ER6" s="732"/>
      <c r="ES6" s="732"/>
      <c r="ET6" s="732"/>
      <c r="EU6" s="732"/>
      <c r="EV6" s="732"/>
      <c r="EW6" s="732"/>
    </row>
    <row r="7" spans="1:153" s="296" customFormat="1">
      <c r="A7" s="295" t="s">
        <v>1706</v>
      </c>
      <c r="B7" s="295"/>
      <c r="C7" s="297">
        <v>1</v>
      </c>
      <c r="D7" s="297"/>
      <c r="E7" s="295"/>
      <c r="F7" s="295"/>
      <c r="G7" s="295"/>
      <c r="H7" s="295"/>
      <c r="I7" s="295"/>
      <c r="J7" s="802" t="s">
        <v>3954</v>
      </c>
      <c r="K7" s="298"/>
      <c r="L7" s="298"/>
      <c r="M7" s="298"/>
      <c r="N7" s="299"/>
      <c r="O7" s="300" t="s">
        <v>3057</v>
      </c>
      <c r="P7" s="300" t="s">
        <v>292</v>
      </c>
      <c r="Q7" s="293"/>
      <c r="R7" s="301"/>
      <c r="S7" s="301" t="s">
        <v>3308</v>
      </c>
      <c r="T7" s="302"/>
      <c r="U7" s="302"/>
      <c r="V7" s="303"/>
      <c r="W7" s="989" t="s">
        <v>3309</v>
      </c>
      <c r="X7" s="990"/>
      <c r="Y7" s="990"/>
      <c r="Z7" s="990"/>
      <c r="AA7" s="990"/>
      <c r="AB7" s="990"/>
      <c r="AC7" s="991"/>
      <c r="AD7" s="733"/>
      <c r="AE7" s="734" t="s">
        <v>3645</v>
      </c>
      <c r="AF7" s="734"/>
      <c r="AG7" s="735"/>
      <c r="AH7" s="735"/>
      <c r="AI7" s="735"/>
      <c r="AJ7" s="735"/>
      <c r="AK7" s="735"/>
      <c r="AL7" s="735"/>
      <c r="AM7" s="735"/>
      <c r="AN7" s="735"/>
      <c r="AO7" s="735"/>
      <c r="AP7" s="735"/>
      <c r="AQ7" s="735"/>
      <c r="AR7" s="735"/>
      <c r="AS7" s="735"/>
      <c r="AT7" s="735"/>
      <c r="AU7" s="735"/>
      <c r="AV7" s="735"/>
      <c r="AW7" s="735"/>
      <c r="AX7" s="735"/>
      <c r="AY7" s="735"/>
      <c r="AZ7" s="735"/>
      <c r="BA7" s="735"/>
      <c r="BB7" s="735"/>
      <c r="BC7" s="735"/>
      <c r="BD7" s="735"/>
      <c r="BE7" s="735"/>
      <c r="BF7" s="735"/>
      <c r="BG7" s="735"/>
      <c r="BH7" s="735"/>
      <c r="BI7" s="735"/>
      <c r="BJ7" s="735"/>
      <c r="BK7" s="735"/>
      <c r="BL7" s="735"/>
      <c r="BM7" s="735"/>
      <c r="BN7" s="735"/>
      <c r="BO7" s="735"/>
      <c r="BP7" s="735"/>
      <c r="BQ7" s="735"/>
      <c r="BR7" s="735"/>
      <c r="BS7" s="735"/>
      <c r="BT7" s="735"/>
      <c r="BU7" s="735"/>
      <c r="BV7" s="735"/>
      <c r="BW7" s="735"/>
      <c r="BX7" s="735"/>
      <c r="BY7" s="735"/>
      <c r="BZ7" s="735"/>
      <c r="CA7" s="735"/>
      <c r="CB7" s="735"/>
      <c r="CC7" s="735"/>
      <c r="CD7" s="735"/>
      <c r="CE7" s="735"/>
      <c r="CF7" s="735"/>
      <c r="CG7" s="735"/>
      <c r="CH7" s="735"/>
      <c r="CI7" s="735"/>
      <c r="CJ7" s="735"/>
      <c r="CK7" s="735"/>
      <c r="CL7" s="735"/>
      <c r="CM7" s="735"/>
      <c r="CN7" s="735"/>
      <c r="CO7" s="735"/>
      <c r="CP7" s="735"/>
      <c r="CQ7" s="735"/>
      <c r="CR7" s="735"/>
      <c r="CS7" s="735"/>
      <c r="CT7" s="735"/>
      <c r="CU7" s="735"/>
      <c r="CV7" s="735"/>
      <c r="CW7" s="735"/>
      <c r="CX7" s="735"/>
      <c r="CY7" s="735"/>
      <c r="CZ7" s="735"/>
      <c r="DA7" s="735"/>
      <c r="DB7" s="735"/>
      <c r="DC7" s="735"/>
      <c r="DD7" s="735"/>
      <c r="DE7" s="735"/>
      <c r="DF7" s="735"/>
      <c r="DG7" s="735"/>
      <c r="DH7" s="735"/>
      <c r="DI7" s="735"/>
      <c r="DJ7" s="735"/>
      <c r="DK7" s="735"/>
      <c r="DL7" s="735"/>
      <c r="DM7" s="735"/>
      <c r="DN7" s="735"/>
      <c r="DO7" s="735"/>
      <c r="DP7" s="735"/>
      <c r="DQ7" s="735"/>
      <c r="DR7" s="735"/>
      <c r="DS7" s="735"/>
      <c r="DT7" s="735"/>
      <c r="DU7" s="735"/>
      <c r="DV7" s="735"/>
      <c r="DW7" s="735"/>
      <c r="DX7" s="735"/>
      <c r="DY7" s="735"/>
      <c r="DZ7" s="735"/>
      <c r="EA7" s="735"/>
      <c r="EB7" s="735"/>
      <c r="EC7" s="735"/>
      <c r="ED7" s="735"/>
      <c r="EE7" s="735"/>
      <c r="EF7" s="735"/>
      <c r="EG7" s="735"/>
      <c r="EH7" s="735"/>
      <c r="EI7" s="735"/>
      <c r="EJ7" s="735"/>
      <c r="EK7" s="735"/>
      <c r="EL7" s="735"/>
      <c r="EM7" s="735"/>
      <c r="EN7" s="735"/>
      <c r="EO7" s="735"/>
      <c r="EP7" s="735"/>
      <c r="EQ7" s="735"/>
      <c r="ER7" s="735"/>
      <c r="ES7" s="735"/>
      <c r="ET7" s="735"/>
      <c r="EU7" s="735"/>
      <c r="EV7" s="735"/>
      <c r="EW7" s="736"/>
    </row>
    <row r="8" spans="1:153" s="308" customFormat="1">
      <c r="A8" s="295"/>
      <c r="B8" s="295"/>
      <c r="C8" s="295"/>
      <c r="D8" s="295"/>
      <c r="E8" s="295"/>
      <c r="F8" s="295"/>
      <c r="G8" s="295"/>
      <c r="H8" s="295"/>
      <c r="I8" s="295"/>
      <c r="J8" s="304"/>
      <c r="K8" s="305"/>
      <c r="L8" s="305"/>
      <c r="M8" s="305"/>
      <c r="N8" s="806" t="s">
        <v>3978</v>
      </c>
      <c r="O8" s="306" t="s">
        <v>3116</v>
      </c>
      <c r="P8" s="306" t="s">
        <v>3116</v>
      </c>
      <c r="Q8" s="293"/>
      <c r="R8" s="307" t="s">
        <v>3310</v>
      </c>
      <c r="S8" s="303"/>
      <c r="T8" s="293"/>
      <c r="U8" s="307" t="s">
        <v>3311</v>
      </c>
      <c r="V8" s="303"/>
      <c r="W8" s="368"/>
      <c r="X8" s="293"/>
      <c r="Y8" s="307" t="s">
        <v>3312</v>
      </c>
      <c r="Z8" s="303"/>
      <c r="AA8" s="369"/>
      <c r="AB8" s="369" t="s">
        <v>3313</v>
      </c>
      <c r="AC8" s="370"/>
      <c r="AD8" s="737"/>
      <c r="AE8" s="738"/>
      <c r="AF8" s="738"/>
      <c r="AG8" s="739"/>
      <c r="AH8" s="992" t="s">
        <v>3646</v>
      </c>
      <c r="AI8" s="993"/>
      <c r="AJ8" s="993"/>
      <c r="AK8" s="993"/>
      <c r="AL8" s="993"/>
      <c r="AM8" s="993"/>
      <c r="AN8" s="993"/>
      <c r="AO8" s="993"/>
      <c r="AP8" s="993"/>
      <c r="AQ8" s="993"/>
      <c r="AR8" s="993"/>
      <c r="AS8" s="994"/>
      <c r="AT8" s="992" t="s">
        <v>3647</v>
      </c>
      <c r="AU8" s="993"/>
      <c r="AV8" s="993"/>
      <c r="AW8" s="993"/>
      <c r="AX8" s="993"/>
      <c r="AY8" s="993"/>
      <c r="AZ8" s="993"/>
      <c r="BA8" s="993"/>
      <c r="BB8" s="993"/>
      <c r="BC8" s="993"/>
      <c r="BD8" s="993"/>
      <c r="BE8" s="994"/>
      <c r="BF8" s="992" t="s">
        <v>3648</v>
      </c>
      <c r="BG8" s="993"/>
      <c r="BH8" s="993"/>
      <c r="BI8" s="993"/>
      <c r="BJ8" s="993"/>
      <c r="BK8" s="993"/>
      <c r="BL8" s="993"/>
      <c r="BM8" s="993"/>
      <c r="BN8" s="993"/>
      <c r="BO8" s="993"/>
      <c r="BP8" s="993"/>
      <c r="BQ8" s="994"/>
      <c r="BR8" s="992" t="s">
        <v>3370</v>
      </c>
      <c r="BS8" s="993"/>
      <c r="BT8" s="993"/>
      <c r="BU8" s="993"/>
      <c r="BV8" s="993"/>
      <c r="BW8" s="993"/>
      <c r="BX8" s="993"/>
      <c r="BY8" s="993"/>
      <c r="BZ8" s="993"/>
      <c r="CA8" s="993"/>
      <c r="CB8" s="993"/>
      <c r="CC8" s="994"/>
      <c r="CD8" s="992" t="s">
        <v>3371</v>
      </c>
      <c r="CE8" s="993"/>
      <c r="CF8" s="993"/>
      <c r="CG8" s="993"/>
      <c r="CH8" s="993"/>
      <c r="CI8" s="993"/>
      <c r="CJ8" s="993"/>
      <c r="CK8" s="993"/>
      <c r="CL8" s="993"/>
      <c r="CM8" s="993"/>
      <c r="CN8" s="993"/>
      <c r="CO8" s="994"/>
      <c r="CP8" s="992" t="s">
        <v>3372</v>
      </c>
      <c r="CQ8" s="993"/>
      <c r="CR8" s="993"/>
      <c r="CS8" s="993"/>
      <c r="CT8" s="993"/>
      <c r="CU8" s="993"/>
      <c r="CV8" s="993"/>
      <c r="CW8" s="993"/>
      <c r="CX8" s="993"/>
      <c r="CY8" s="993"/>
      <c r="CZ8" s="993"/>
      <c r="DA8" s="994"/>
      <c r="DB8" s="992" t="s">
        <v>3373</v>
      </c>
      <c r="DC8" s="993"/>
      <c r="DD8" s="993"/>
      <c r="DE8" s="993"/>
      <c r="DF8" s="993"/>
      <c r="DG8" s="993"/>
      <c r="DH8" s="993"/>
      <c r="DI8" s="993"/>
      <c r="DJ8" s="993"/>
      <c r="DK8" s="993"/>
      <c r="DL8" s="993"/>
      <c r="DM8" s="994"/>
      <c r="DN8" s="992" t="s">
        <v>3374</v>
      </c>
      <c r="DO8" s="993"/>
      <c r="DP8" s="993"/>
      <c r="DQ8" s="993"/>
      <c r="DR8" s="993"/>
      <c r="DS8" s="993"/>
      <c r="DT8" s="993"/>
      <c r="DU8" s="993"/>
      <c r="DV8" s="993"/>
      <c r="DW8" s="993"/>
      <c r="DX8" s="993"/>
      <c r="DY8" s="994"/>
      <c r="DZ8" s="992" t="s">
        <v>3375</v>
      </c>
      <c r="EA8" s="993"/>
      <c r="EB8" s="993"/>
      <c r="EC8" s="993"/>
      <c r="ED8" s="993"/>
      <c r="EE8" s="993"/>
      <c r="EF8" s="993"/>
      <c r="EG8" s="993"/>
      <c r="EH8" s="993"/>
      <c r="EI8" s="993"/>
      <c r="EJ8" s="993"/>
      <c r="EK8" s="994"/>
      <c r="EL8" s="992" t="s">
        <v>3376</v>
      </c>
      <c r="EM8" s="993"/>
      <c r="EN8" s="993"/>
      <c r="EO8" s="993"/>
      <c r="EP8" s="993"/>
      <c r="EQ8" s="993"/>
      <c r="ER8" s="993"/>
      <c r="ES8" s="993"/>
      <c r="ET8" s="993"/>
      <c r="EU8" s="993"/>
      <c r="EV8" s="993"/>
      <c r="EW8" s="994"/>
    </row>
    <row r="9" spans="1:153" ht="39" thickBot="1">
      <c r="A9" s="309" t="s">
        <v>1346</v>
      </c>
      <c r="B9" s="803" t="s">
        <v>3973</v>
      </c>
      <c r="C9" s="803" t="s">
        <v>3950</v>
      </c>
      <c r="D9" s="803" t="s">
        <v>3974</v>
      </c>
      <c r="E9" s="724" t="s">
        <v>3975</v>
      </c>
      <c r="F9" s="724" t="s">
        <v>3976</v>
      </c>
      <c r="G9" s="724" t="s">
        <v>3952</v>
      </c>
      <c r="H9" s="724" t="s">
        <v>3977</v>
      </c>
      <c r="I9" s="724" t="s">
        <v>3941</v>
      </c>
      <c r="J9" s="804" t="s">
        <v>3966</v>
      </c>
      <c r="K9" s="804" t="s">
        <v>3912</v>
      </c>
      <c r="L9" s="804" t="s">
        <v>3913</v>
      </c>
      <c r="M9" s="805" t="s">
        <v>3914</v>
      </c>
      <c r="N9" s="446"/>
      <c r="O9" s="446"/>
      <c r="P9" s="446"/>
      <c r="Q9" s="309" t="s">
        <v>3095</v>
      </c>
      <c r="R9" s="309" t="s">
        <v>3096</v>
      </c>
      <c r="S9" s="309" t="s">
        <v>3097</v>
      </c>
      <c r="T9" s="309" t="s">
        <v>3098</v>
      </c>
      <c r="U9" s="309" t="s">
        <v>3099</v>
      </c>
      <c r="V9" s="309" t="s">
        <v>3100</v>
      </c>
      <c r="W9" s="371" t="s">
        <v>3101</v>
      </c>
      <c r="X9" s="309" t="s">
        <v>3102</v>
      </c>
      <c r="Y9" s="309" t="s">
        <v>3103</v>
      </c>
      <c r="Z9" s="309" t="s">
        <v>3104</v>
      </c>
      <c r="AA9" s="309" t="s">
        <v>3105</v>
      </c>
      <c r="AB9" s="309" t="s">
        <v>3106</v>
      </c>
      <c r="AC9" s="309" t="s">
        <v>3107</v>
      </c>
      <c r="AD9" s="740" t="s">
        <v>3377</v>
      </c>
      <c r="AE9" s="741" t="s">
        <v>3378</v>
      </c>
      <c r="AF9" s="741" t="s">
        <v>3379</v>
      </c>
      <c r="AG9" s="741" t="s">
        <v>3380</v>
      </c>
      <c r="AH9" s="740" t="s">
        <v>3381</v>
      </c>
      <c r="AI9" s="740" t="s">
        <v>3382</v>
      </c>
      <c r="AJ9" s="724" t="s">
        <v>3383</v>
      </c>
      <c r="AK9" s="724" t="s">
        <v>3384</v>
      </c>
      <c r="AL9" s="724" t="s">
        <v>3385</v>
      </c>
      <c r="AM9" s="724" t="s">
        <v>3386</v>
      </c>
      <c r="AN9" s="724" t="s">
        <v>3387</v>
      </c>
      <c r="AO9" s="724" t="s">
        <v>3388</v>
      </c>
      <c r="AP9" s="724" t="s">
        <v>3389</v>
      </c>
      <c r="AQ9" s="724" t="s">
        <v>2563</v>
      </c>
      <c r="AR9" s="724" t="s">
        <v>2564</v>
      </c>
      <c r="AS9" s="724" t="s">
        <v>2565</v>
      </c>
      <c r="AT9" s="740" t="s">
        <v>2566</v>
      </c>
      <c r="AU9" s="740" t="s">
        <v>2567</v>
      </c>
      <c r="AV9" s="724" t="s">
        <v>2568</v>
      </c>
      <c r="AW9" s="724" t="s">
        <v>2569</v>
      </c>
      <c r="AX9" s="724" t="s">
        <v>2570</v>
      </c>
      <c r="AY9" s="724" t="s">
        <v>2571</v>
      </c>
      <c r="AZ9" s="724" t="s">
        <v>3387</v>
      </c>
      <c r="BA9" s="724" t="s">
        <v>3388</v>
      </c>
      <c r="BB9" s="724" t="s">
        <v>3389</v>
      </c>
      <c r="BC9" s="724" t="s">
        <v>2563</v>
      </c>
      <c r="BD9" s="724" t="s">
        <v>2564</v>
      </c>
      <c r="BE9" s="724" t="s">
        <v>2565</v>
      </c>
      <c r="BF9" s="740" t="s">
        <v>2566</v>
      </c>
      <c r="BG9" s="740" t="s">
        <v>2567</v>
      </c>
      <c r="BH9" s="724" t="s">
        <v>2568</v>
      </c>
      <c r="BI9" s="724" t="s">
        <v>2569</v>
      </c>
      <c r="BJ9" s="724" t="s">
        <v>2570</v>
      </c>
      <c r="BK9" s="724" t="s">
        <v>2571</v>
      </c>
      <c r="BL9" s="724" t="s">
        <v>3387</v>
      </c>
      <c r="BM9" s="724" t="s">
        <v>3388</v>
      </c>
      <c r="BN9" s="724" t="s">
        <v>3389</v>
      </c>
      <c r="BO9" s="724" t="s">
        <v>2563</v>
      </c>
      <c r="BP9" s="724" t="s">
        <v>2564</v>
      </c>
      <c r="BQ9" s="724" t="s">
        <v>2565</v>
      </c>
      <c r="BR9" s="740" t="s">
        <v>2566</v>
      </c>
      <c r="BS9" s="740" t="s">
        <v>2567</v>
      </c>
      <c r="BT9" s="724" t="s">
        <v>2568</v>
      </c>
      <c r="BU9" s="724" t="s">
        <v>2569</v>
      </c>
      <c r="BV9" s="724" t="s">
        <v>2570</v>
      </c>
      <c r="BW9" s="724" t="s">
        <v>2571</v>
      </c>
      <c r="BX9" s="724" t="s">
        <v>3387</v>
      </c>
      <c r="BY9" s="724" t="s">
        <v>3388</v>
      </c>
      <c r="BZ9" s="724" t="s">
        <v>3389</v>
      </c>
      <c r="CA9" s="724" t="s">
        <v>2563</v>
      </c>
      <c r="CB9" s="724" t="s">
        <v>2564</v>
      </c>
      <c r="CC9" s="724" t="s">
        <v>2565</v>
      </c>
      <c r="CD9" s="740" t="s">
        <v>2566</v>
      </c>
      <c r="CE9" s="740" t="s">
        <v>2567</v>
      </c>
      <c r="CF9" s="724" t="s">
        <v>2568</v>
      </c>
      <c r="CG9" s="724" t="s">
        <v>2569</v>
      </c>
      <c r="CH9" s="724" t="s">
        <v>2570</v>
      </c>
      <c r="CI9" s="724" t="s">
        <v>2571</v>
      </c>
      <c r="CJ9" s="724" t="s">
        <v>3387</v>
      </c>
      <c r="CK9" s="724" t="s">
        <v>3388</v>
      </c>
      <c r="CL9" s="724" t="s">
        <v>3389</v>
      </c>
      <c r="CM9" s="724" t="s">
        <v>2563</v>
      </c>
      <c r="CN9" s="724" t="s">
        <v>2564</v>
      </c>
      <c r="CO9" s="724" t="s">
        <v>2565</v>
      </c>
      <c r="CP9" s="740" t="s">
        <v>2566</v>
      </c>
      <c r="CQ9" s="740" t="s">
        <v>2567</v>
      </c>
      <c r="CR9" s="724" t="s">
        <v>2568</v>
      </c>
      <c r="CS9" s="724" t="s">
        <v>2569</v>
      </c>
      <c r="CT9" s="724" t="s">
        <v>2570</v>
      </c>
      <c r="CU9" s="724" t="s">
        <v>2571</v>
      </c>
      <c r="CV9" s="724" t="s">
        <v>3387</v>
      </c>
      <c r="CW9" s="724" t="s">
        <v>3388</v>
      </c>
      <c r="CX9" s="724" t="s">
        <v>3389</v>
      </c>
      <c r="CY9" s="724" t="s">
        <v>2563</v>
      </c>
      <c r="CZ9" s="724" t="s">
        <v>2564</v>
      </c>
      <c r="DA9" s="724" t="s">
        <v>2565</v>
      </c>
      <c r="DB9" s="740" t="s">
        <v>2566</v>
      </c>
      <c r="DC9" s="740" t="s">
        <v>2567</v>
      </c>
      <c r="DD9" s="724" t="s">
        <v>2568</v>
      </c>
      <c r="DE9" s="724" t="s">
        <v>2569</v>
      </c>
      <c r="DF9" s="724" t="s">
        <v>2570</v>
      </c>
      <c r="DG9" s="724" t="s">
        <v>2571</v>
      </c>
      <c r="DH9" s="724" t="s">
        <v>3387</v>
      </c>
      <c r="DI9" s="724" t="s">
        <v>3388</v>
      </c>
      <c r="DJ9" s="724" t="s">
        <v>3389</v>
      </c>
      <c r="DK9" s="724" t="s">
        <v>2563</v>
      </c>
      <c r="DL9" s="724" t="s">
        <v>2564</v>
      </c>
      <c r="DM9" s="724" t="s">
        <v>2565</v>
      </c>
      <c r="DN9" s="740" t="s">
        <v>2566</v>
      </c>
      <c r="DO9" s="740" t="s">
        <v>2567</v>
      </c>
      <c r="DP9" s="724" t="s">
        <v>2568</v>
      </c>
      <c r="DQ9" s="724" t="s">
        <v>2569</v>
      </c>
      <c r="DR9" s="724" t="s">
        <v>2570</v>
      </c>
      <c r="DS9" s="724" t="s">
        <v>2571</v>
      </c>
      <c r="DT9" s="724" t="s">
        <v>3387</v>
      </c>
      <c r="DU9" s="724" t="s">
        <v>3388</v>
      </c>
      <c r="DV9" s="724" t="s">
        <v>3389</v>
      </c>
      <c r="DW9" s="724" t="s">
        <v>2563</v>
      </c>
      <c r="DX9" s="724" t="s">
        <v>2564</v>
      </c>
      <c r="DY9" s="724" t="s">
        <v>2565</v>
      </c>
      <c r="DZ9" s="740" t="s">
        <v>2566</v>
      </c>
      <c r="EA9" s="740" t="s">
        <v>2567</v>
      </c>
      <c r="EB9" s="724" t="s">
        <v>2568</v>
      </c>
      <c r="EC9" s="724" t="s">
        <v>2569</v>
      </c>
      <c r="ED9" s="724" t="s">
        <v>2570</v>
      </c>
      <c r="EE9" s="724" t="s">
        <v>2571</v>
      </c>
      <c r="EF9" s="724" t="s">
        <v>3387</v>
      </c>
      <c r="EG9" s="724" t="s">
        <v>3388</v>
      </c>
      <c r="EH9" s="724" t="s">
        <v>3389</v>
      </c>
      <c r="EI9" s="724" t="s">
        <v>2563</v>
      </c>
      <c r="EJ9" s="724" t="s">
        <v>2564</v>
      </c>
      <c r="EK9" s="724" t="s">
        <v>2565</v>
      </c>
      <c r="EL9" s="740" t="s">
        <v>2566</v>
      </c>
      <c r="EM9" s="740" t="s">
        <v>2567</v>
      </c>
      <c r="EN9" s="724" t="s">
        <v>2568</v>
      </c>
      <c r="EO9" s="724" t="s">
        <v>2569</v>
      </c>
      <c r="EP9" s="724" t="s">
        <v>2570</v>
      </c>
      <c r="EQ9" s="724" t="s">
        <v>2571</v>
      </c>
      <c r="ER9" s="724" t="s">
        <v>3387</v>
      </c>
      <c r="ES9" s="724" t="s">
        <v>3388</v>
      </c>
      <c r="ET9" s="724" t="s">
        <v>3389</v>
      </c>
      <c r="EU9" s="724" t="s">
        <v>2563</v>
      </c>
      <c r="EV9" s="724" t="s">
        <v>2564</v>
      </c>
      <c r="EW9" s="724" t="s">
        <v>2565</v>
      </c>
    </row>
    <row r="10" spans="1:153" ht="13.5" thickTop="1">
      <c r="A10" s="320">
        <v>1</v>
      </c>
      <c r="B10" s="750"/>
      <c r="C10" s="750"/>
      <c r="D10" s="750"/>
      <c r="E10" s="751"/>
      <c r="F10" s="752"/>
      <c r="G10" s="752"/>
      <c r="H10" s="753"/>
      <c r="I10" s="753"/>
      <c r="J10" s="754"/>
      <c r="K10" s="754"/>
      <c r="L10" s="754"/>
      <c r="M10" s="754"/>
      <c r="N10" s="755"/>
      <c r="O10" s="756"/>
      <c r="P10" s="756"/>
      <c r="Q10" s="752"/>
      <c r="R10" s="752"/>
      <c r="S10" s="752"/>
      <c r="T10" s="752"/>
      <c r="U10" s="752"/>
      <c r="V10" s="752"/>
      <c r="W10" s="757"/>
      <c r="X10" s="758"/>
      <c r="Y10" s="758"/>
      <c r="Z10" s="758"/>
      <c r="AA10" s="758"/>
      <c r="AB10" s="758"/>
      <c r="AC10" s="758"/>
      <c r="AD10" s="919">
        <v>1</v>
      </c>
      <c r="AE10" s="921"/>
      <c r="AF10" s="921"/>
      <c r="AG10" s="921"/>
      <c r="AH10" s="921"/>
      <c r="AI10" s="921"/>
      <c r="AJ10" s="921"/>
      <c r="AK10" s="921"/>
      <c r="AL10" s="921"/>
      <c r="AM10" s="921"/>
      <c r="AN10" s="921"/>
      <c r="AO10" s="921"/>
      <c r="AP10" s="921"/>
      <c r="AQ10" s="921"/>
      <c r="AR10" s="921"/>
      <c r="AS10" s="921"/>
      <c r="AT10" s="921"/>
      <c r="AU10" s="921"/>
      <c r="AV10" s="921"/>
      <c r="AW10" s="921"/>
      <c r="AX10" s="921"/>
      <c r="AY10" s="921"/>
      <c r="AZ10" s="921"/>
      <c r="BA10" s="921"/>
      <c r="BB10" s="921"/>
      <c r="BC10" s="921"/>
      <c r="BD10" s="921"/>
      <c r="BE10" s="921"/>
      <c r="BF10" s="921"/>
      <c r="BG10" s="921"/>
      <c r="BH10" s="921"/>
      <c r="BI10" s="921"/>
      <c r="BJ10" s="921"/>
      <c r="BK10" s="921"/>
      <c r="BL10" s="921"/>
      <c r="BM10" s="921"/>
      <c r="BN10" s="921"/>
      <c r="BO10" s="921"/>
      <c r="BP10" s="921"/>
      <c r="BQ10" s="921"/>
      <c r="BR10" s="921"/>
      <c r="BS10" s="921"/>
      <c r="BT10" s="921"/>
      <c r="BU10" s="921"/>
      <c r="BV10" s="921"/>
      <c r="BW10" s="921"/>
      <c r="BX10" s="921"/>
      <c r="BY10" s="921"/>
      <c r="BZ10" s="921"/>
      <c r="CA10" s="921"/>
      <c r="CB10" s="921"/>
      <c r="CC10" s="921"/>
      <c r="CD10" s="921"/>
      <c r="CE10" s="921"/>
      <c r="CF10" s="921"/>
      <c r="CG10" s="921"/>
      <c r="CH10" s="921"/>
      <c r="CI10" s="921"/>
      <c r="CJ10" s="921"/>
      <c r="CK10" s="921"/>
      <c r="CL10" s="921"/>
      <c r="CM10" s="921"/>
      <c r="CN10" s="921"/>
      <c r="CO10" s="921"/>
      <c r="CP10" s="921"/>
      <c r="CQ10" s="921"/>
      <c r="CR10" s="921"/>
      <c r="CS10" s="921"/>
      <c r="CT10" s="921"/>
      <c r="CU10" s="921"/>
      <c r="CV10" s="921"/>
      <c r="CW10" s="921"/>
      <c r="CX10" s="921"/>
      <c r="CY10" s="921"/>
      <c r="CZ10" s="921"/>
      <c r="DA10" s="921"/>
      <c r="DB10" s="921"/>
      <c r="DC10" s="921"/>
      <c r="DD10" s="921"/>
      <c r="DE10" s="921"/>
      <c r="DF10" s="921"/>
      <c r="DG10" s="921"/>
      <c r="DH10" s="921"/>
      <c r="DI10" s="921"/>
      <c r="DJ10" s="921"/>
      <c r="DK10" s="921"/>
      <c r="DL10" s="921"/>
      <c r="DM10" s="921"/>
      <c r="DN10" s="921"/>
      <c r="DO10" s="921"/>
      <c r="DP10" s="921"/>
      <c r="DQ10" s="921"/>
      <c r="DR10" s="921"/>
      <c r="DS10" s="921"/>
      <c r="DT10" s="921"/>
      <c r="DU10" s="921"/>
      <c r="DV10" s="921"/>
      <c r="DW10" s="921"/>
      <c r="DX10" s="921"/>
      <c r="DY10" s="921"/>
      <c r="DZ10" s="921"/>
      <c r="EA10" s="921"/>
      <c r="EB10" s="921"/>
      <c r="EC10" s="921"/>
      <c r="ED10" s="921"/>
      <c r="EE10" s="921"/>
      <c r="EF10" s="921"/>
      <c r="EG10" s="921"/>
      <c r="EH10" s="921"/>
      <c r="EI10" s="921"/>
      <c r="EJ10" s="921"/>
      <c r="EK10" s="921"/>
      <c r="EL10" s="921"/>
      <c r="EM10" s="921"/>
      <c r="EN10" s="921"/>
      <c r="EO10" s="921"/>
      <c r="EP10" s="921"/>
      <c r="EQ10" s="921"/>
      <c r="ER10" s="921"/>
      <c r="ES10" s="921"/>
      <c r="ET10" s="921"/>
      <c r="EU10" s="921"/>
      <c r="EV10" s="921"/>
      <c r="EW10" s="921"/>
    </row>
    <row r="11" spans="1:153">
      <c r="A11" s="320">
        <v>2</v>
      </c>
      <c r="B11" s="759"/>
      <c r="C11" s="759"/>
      <c r="D11" s="759"/>
      <c r="E11" s="760"/>
      <c r="F11" s="761"/>
      <c r="G11" s="761"/>
      <c r="H11" s="762"/>
      <c r="I11" s="762"/>
      <c r="J11" s="763"/>
      <c r="K11" s="763"/>
      <c r="L11" s="763"/>
      <c r="M11" s="763"/>
      <c r="N11" s="764"/>
      <c r="O11" s="761"/>
      <c r="P11" s="761"/>
      <c r="Q11" s="761"/>
      <c r="R11" s="761"/>
      <c r="S11" s="761"/>
      <c r="T11" s="761"/>
      <c r="U11" s="761"/>
      <c r="V11" s="761"/>
      <c r="W11" s="765"/>
      <c r="X11" s="766"/>
      <c r="Y11" s="766"/>
      <c r="Z11" s="766"/>
      <c r="AA11" s="766"/>
      <c r="AB11" s="766"/>
      <c r="AC11" s="766"/>
      <c r="AD11" s="920">
        <v>2</v>
      </c>
      <c r="AE11" s="922"/>
      <c r="AF11" s="922"/>
      <c r="AG11" s="922"/>
      <c r="AH11" s="922"/>
      <c r="AI11" s="922"/>
      <c r="AJ11" s="922"/>
      <c r="AK11" s="922"/>
      <c r="AL11" s="922"/>
      <c r="AM11" s="922"/>
      <c r="AN11" s="922"/>
      <c r="AO11" s="922"/>
      <c r="AP11" s="922"/>
      <c r="AQ11" s="922"/>
      <c r="AR11" s="922"/>
      <c r="AS11" s="922"/>
      <c r="AT11" s="922"/>
      <c r="AU11" s="922"/>
      <c r="AV11" s="922"/>
      <c r="AW11" s="922"/>
      <c r="AX11" s="922"/>
      <c r="AY11" s="922"/>
      <c r="AZ11" s="922"/>
      <c r="BA11" s="922"/>
      <c r="BB11" s="922"/>
      <c r="BC11" s="922"/>
      <c r="BD11" s="922"/>
      <c r="BE11" s="922"/>
      <c r="BF11" s="922"/>
      <c r="BG11" s="922"/>
      <c r="BH11" s="922"/>
      <c r="BI11" s="922"/>
      <c r="BJ11" s="922"/>
      <c r="BK11" s="922"/>
      <c r="BL11" s="922"/>
      <c r="BM11" s="922"/>
      <c r="BN11" s="922"/>
      <c r="BO11" s="922"/>
      <c r="BP11" s="922"/>
      <c r="BQ11" s="922"/>
      <c r="BR11" s="922"/>
      <c r="BS11" s="922"/>
      <c r="BT11" s="922"/>
      <c r="BU11" s="922"/>
      <c r="BV11" s="922"/>
      <c r="BW11" s="922"/>
      <c r="BX11" s="922"/>
      <c r="BY11" s="922"/>
      <c r="BZ11" s="922"/>
      <c r="CA11" s="922"/>
      <c r="CB11" s="922"/>
      <c r="CC11" s="922"/>
      <c r="CD11" s="922"/>
      <c r="CE11" s="922"/>
      <c r="CF11" s="922"/>
      <c r="CG11" s="922"/>
      <c r="CH11" s="922"/>
      <c r="CI11" s="922"/>
      <c r="CJ11" s="922"/>
      <c r="CK11" s="922"/>
      <c r="CL11" s="922"/>
      <c r="CM11" s="922"/>
      <c r="CN11" s="922"/>
      <c r="CO11" s="922"/>
      <c r="CP11" s="922"/>
      <c r="CQ11" s="922"/>
      <c r="CR11" s="922"/>
      <c r="CS11" s="922"/>
      <c r="CT11" s="922"/>
      <c r="CU11" s="922"/>
      <c r="CV11" s="922"/>
      <c r="CW11" s="922"/>
      <c r="CX11" s="922"/>
      <c r="CY11" s="922"/>
      <c r="CZ11" s="922"/>
      <c r="DA11" s="922"/>
      <c r="DB11" s="922"/>
      <c r="DC11" s="922"/>
      <c r="DD11" s="922"/>
      <c r="DE11" s="922"/>
      <c r="DF11" s="922"/>
      <c r="DG11" s="922"/>
      <c r="DH11" s="922"/>
      <c r="DI11" s="922"/>
      <c r="DJ11" s="922"/>
      <c r="DK11" s="922"/>
      <c r="DL11" s="922"/>
      <c r="DM11" s="922"/>
      <c r="DN11" s="922"/>
      <c r="DO11" s="922"/>
      <c r="DP11" s="922"/>
      <c r="DQ11" s="922"/>
      <c r="DR11" s="922"/>
      <c r="DS11" s="922"/>
      <c r="DT11" s="922"/>
      <c r="DU11" s="922"/>
      <c r="DV11" s="922"/>
      <c r="DW11" s="922"/>
      <c r="DX11" s="922"/>
      <c r="DY11" s="922"/>
      <c r="DZ11" s="922"/>
      <c r="EA11" s="922"/>
      <c r="EB11" s="922"/>
      <c r="EC11" s="922"/>
      <c r="ED11" s="922"/>
      <c r="EE11" s="922"/>
      <c r="EF11" s="922"/>
      <c r="EG11" s="922"/>
      <c r="EH11" s="922"/>
      <c r="EI11" s="922"/>
      <c r="EJ11" s="922"/>
      <c r="EK11" s="922"/>
      <c r="EL11" s="922"/>
      <c r="EM11" s="922"/>
      <c r="EN11" s="922"/>
      <c r="EO11" s="922"/>
      <c r="EP11" s="922"/>
      <c r="EQ11" s="922"/>
      <c r="ER11" s="922"/>
      <c r="ES11" s="922"/>
      <c r="ET11" s="922"/>
      <c r="EU11" s="922"/>
      <c r="EV11" s="922"/>
      <c r="EW11" s="922"/>
    </row>
    <row r="12" spans="1:153">
      <c r="A12" s="320">
        <v>3</v>
      </c>
      <c r="B12" s="759"/>
      <c r="C12" s="759"/>
      <c r="D12" s="759"/>
      <c r="E12" s="760"/>
      <c r="F12" s="761"/>
      <c r="G12" s="761"/>
      <c r="H12" s="762"/>
      <c r="I12" s="762"/>
      <c r="J12" s="763"/>
      <c r="K12" s="763"/>
      <c r="L12" s="763"/>
      <c r="M12" s="763"/>
      <c r="N12" s="764"/>
      <c r="O12" s="761"/>
      <c r="P12" s="761"/>
      <c r="Q12" s="761"/>
      <c r="R12" s="761"/>
      <c r="S12" s="761"/>
      <c r="T12" s="761"/>
      <c r="U12" s="761"/>
      <c r="V12" s="761"/>
      <c r="W12" s="765"/>
      <c r="X12" s="766"/>
      <c r="Y12" s="766"/>
      <c r="Z12" s="766"/>
      <c r="AA12" s="766"/>
      <c r="AB12" s="766"/>
      <c r="AC12" s="766"/>
      <c r="AD12" s="920">
        <v>3</v>
      </c>
      <c r="AE12" s="922"/>
      <c r="AF12" s="922"/>
      <c r="AG12" s="922"/>
      <c r="AH12" s="922"/>
      <c r="AI12" s="922"/>
      <c r="AJ12" s="922"/>
      <c r="AK12" s="922"/>
      <c r="AL12" s="922"/>
      <c r="AM12" s="922"/>
      <c r="AN12" s="922"/>
      <c r="AO12" s="922"/>
      <c r="AP12" s="922"/>
      <c r="AQ12" s="922"/>
      <c r="AR12" s="922"/>
      <c r="AS12" s="922"/>
      <c r="AT12" s="922"/>
      <c r="AU12" s="922"/>
      <c r="AV12" s="922"/>
      <c r="AW12" s="922"/>
      <c r="AX12" s="922"/>
      <c r="AY12" s="922"/>
      <c r="AZ12" s="922"/>
      <c r="BA12" s="922"/>
      <c r="BB12" s="922"/>
      <c r="BC12" s="922"/>
      <c r="BD12" s="922"/>
      <c r="BE12" s="922"/>
      <c r="BF12" s="922"/>
      <c r="BG12" s="922"/>
      <c r="BH12" s="922"/>
      <c r="BI12" s="922"/>
      <c r="BJ12" s="922"/>
      <c r="BK12" s="922"/>
      <c r="BL12" s="922"/>
      <c r="BM12" s="922"/>
      <c r="BN12" s="922"/>
      <c r="BO12" s="922"/>
      <c r="BP12" s="922"/>
      <c r="BQ12" s="922"/>
      <c r="BR12" s="922"/>
      <c r="BS12" s="922"/>
      <c r="BT12" s="922"/>
      <c r="BU12" s="922"/>
      <c r="BV12" s="922"/>
      <c r="BW12" s="922"/>
      <c r="BX12" s="922"/>
      <c r="BY12" s="922"/>
      <c r="BZ12" s="922"/>
      <c r="CA12" s="922"/>
      <c r="CB12" s="922"/>
      <c r="CC12" s="922"/>
      <c r="CD12" s="922"/>
      <c r="CE12" s="922"/>
      <c r="CF12" s="922"/>
      <c r="CG12" s="922"/>
      <c r="CH12" s="922"/>
      <c r="CI12" s="922"/>
      <c r="CJ12" s="922"/>
      <c r="CK12" s="922"/>
      <c r="CL12" s="922"/>
      <c r="CM12" s="922"/>
      <c r="CN12" s="922"/>
      <c r="CO12" s="922"/>
      <c r="CP12" s="922"/>
      <c r="CQ12" s="922"/>
      <c r="CR12" s="922"/>
      <c r="CS12" s="922"/>
      <c r="CT12" s="922"/>
      <c r="CU12" s="922"/>
      <c r="CV12" s="922"/>
      <c r="CW12" s="922"/>
      <c r="CX12" s="922"/>
      <c r="CY12" s="922"/>
      <c r="CZ12" s="922"/>
      <c r="DA12" s="922"/>
      <c r="DB12" s="922"/>
      <c r="DC12" s="922"/>
      <c r="DD12" s="922"/>
      <c r="DE12" s="922"/>
      <c r="DF12" s="922"/>
      <c r="DG12" s="922"/>
      <c r="DH12" s="922"/>
      <c r="DI12" s="922"/>
      <c r="DJ12" s="922"/>
      <c r="DK12" s="922"/>
      <c r="DL12" s="922"/>
      <c r="DM12" s="922"/>
      <c r="DN12" s="922"/>
      <c r="DO12" s="922"/>
      <c r="DP12" s="922"/>
      <c r="DQ12" s="922"/>
      <c r="DR12" s="922"/>
      <c r="DS12" s="922"/>
      <c r="DT12" s="922"/>
      <c r="DU12" s="922"/>
      <c r="DV12" s="922"/>
      <c r="DW12" s="922"/>
      <c r="DX12" s="922"/>
      <c r="DY12" s="922"/>
      <c r="DZ12" s="922"/>
      <c r="EA12" s="922"/>
      <c r="EB12" s="922"/>
      <c r="EC12" s="922"/>
      <c r="ED12" s="922"/>
      <c r="EE12" s="922"/>
      <c r="EF12" s="922"/>
      <c r="EG12" s="922"/>
      <c r="EH12" s="922"/>
      <c r="EI12" s="922"/>
      <c r="EJ12" s="922"/>
      <c r="EK12" s="922"/>
      <c r="EL12" s="922"/>
      <c r="EM12" s="922"/>
      <c r="EN12" s="922"/>
      <c r="EO12" s="922"/>
      <c r="EP12" s="922"/>
      <c r="EQ12" s="922"/>
      <c r="ER12" s="922"/>
      <c r="ES12" s="922"/>
      <c r="ET12" s="922"/>
      <c r="EU12" s="922"/>
      <c r="EV12" s="922"/>
      <c r="EW12" s="922"/>
    </row>
    <row r="13" spans="1:153">
      <c r="A13" s="320">
        <v>4</v>
      </c>
      <c r="B13" s="759"/>
      <c r="C13" s="759"/>
      <c r="D13" s="759"/>
      <c r="E13" s="760"/>
      <c r="F13" s="761"/>
      <c r="G13" s="761"/>
      <c r="H13" s="762"/>
      <c r="I13" s="762"/>
      <c r="J13" s="763"/>
      <c r="K13" s="763"/>
      <c r="L13" s="763"/>
      <c r="M13" s="763"/>
      <c r="N13" s="764"/>
      <c r="O13" s="761"/>
      <c r="P13" s="761"/>
      <c r="Q13" s="761"/>
      <c r="R13" s="761"/>
      <c r="S13" s="761"/>
      <c r="T13" s="761"/>
      <c r="U13" s="761"/>
      <c r="V13" s="761"/>
      <c r="W13" s="765"/>
      <c r="X13" s="766"/>
      <c r="Y13" s="766"/>
      <c r="Z13" s="766"/>
      <c r="AA13" s="766"/>
      <c r="AB13" s="766"/>
      <c r="AC13" s="766"/>
      <c r="AD13" s="920">
        <v>4</v>
      </c>
      <c r="AE13" s="922"/>
      <c r="AF13" s="922"/>
      <c r="AG13" s="922"/>
      <c r="AH13" s="922"/>
      <c r="AI13" s="922"/>
      <c r="AJ13" s="922"/>
      <c r="AK13" s="922"/>
      <c r="AL13" s="922"/>
      <c r="AM13" s="922"/>
      <c r="AN13" s="922"/>
      <c r="AO13" s="922"/>
      <c r="AP13" s="922"/>
      <c r="AQ13" s="922"/>
      <c r="AR13" s="922"/>
      <c r="AS13" s="922"/>
      <c r="AT13" s="922"/>
      <c r="AU13" s="922"/>
      <c r="AV13" s="922"/>
      <c r="AW13" s="922"/>
      <c r="AX13" s="922"/>
      <c r="AY13" s="922"/>
      <c r="AZ13" s="922"/>
      <c r="BA13" s="922"/>
      <c r="BB13" s="922"/>
      <c r="BC13" s="922"/>
      <c r="BD13" s="922"/>
      <c r="BE13" s="922"/>
      <c r="BF13" s="922"/>
      <c r="BG13" s="922"/>
      <c r="BH13" s="922"/>
      <c r="BI13" s="922"/>
      <c r="BJ13" s="922"/>
      <c r="BK13" s="922"/>
      <c r="BL13" s="922"/>
      <c r="BM13" s="922"/>
      <c r="BN13" s="922"/>
      <c r="BO13" s="922"/>
      <c r="BP13" s="922"/>
      <c r="BQ13" s="922"/>
      <c r="BR13" s="922"/>
      <c r="BS13" s="922"/>
      <c r="BT13" s="922"/>
      <c r="BU13" s="922"/>
      <c r="BV13" s="922"/>
      <c r="BW13" s="922"/>
      <c r="BX13" s="922"/>
      <c r="BY13" s="922"/>
      <c r="BZ13" s="922"/>
      <c r="CA13" s="922"/>
      <c r="CB13" s="922"/>
      <c r="CC13" s="922"/>
      <c r="CD13" s="922"/>
      <c r="CE13" s="922"/>
      <c r="CF13" s="922"/>
      <c r="CG13" s="922"/>
      <c r="CH13" s="922"/>
      <c r="CI13" s="922"/>
      <c r="CJ13" s="922"/>
      <c r="CK13" s="922"/>
      <c r="CL13" s="922"/>
      <c r="CM13" s="922"/>
      <c r="CN13" s="922"/>
      <c r="CO13" s="922"/>
      <c r="CP13" s="922"/>
      <c r="CQ13" s="922"/>
      <c r="CR13" s="922"/>
      <c r="CS13" s="922"/>
      <c r="CT13" s="922"/>
      <c r="CU13" s="922"/>
      <c r="CV13" s="922"/>
      <c r="CW13" s="922"/>
      <c r="CX13" s="922"/>
      <c r="CY13" s="922"/>
      <c r="CZ13" s="922"/>
      <c r="DA13" s="922"/>
      <c r="DB13" s="922"/>
      <c r="DC13" s="922"/>
      <c r="DD13" s="922"/>
      <c r="DE13" s="922"/>
      <c r="DF13" s="922"/>
      <c r="DG13" s="922"/>
      <c r="DH13" s="922"/>
      <c r="DI13" s="922"/>
      <c r="DJ13" s="922"/>
      <c r="DK13" s="922"/>
      <c r="DL13" s="922"/>
      <c r="DM13" s="922"/>
      <c r="DN13" s="922"/>
      <c r="DO13" s="922"/>
      <c r="DP13" s="922"/>
      <c r="DQ13" s="922"/>
      <c r="DR13" s="922"/>
      <c r="DS13" s="922"/>
      <c r="DT13" s="922"/>
      <c r="DU13" s="922"/>
      <c r="DV13" s="922"/>
      <c r="DW13" s="922"/>
      <c r="DX13" s="922"/>
      <c r="DY13" s="922"/>
      <c r="DZ13" s="922"/>
      <c r="EA13" s="922"/>
      <c r="EB13" s="922"/>
      <c r="EC13" s="922"/>
      <c r="ED13" s="922"/>
      <c r="EE13" s="922"/>
      <c r="EF13" s="922"/>
      <c r="EG13" s="922"/>
      <c r="EH13" s="922"/>
      <c r="EI13" s="922"/>
      <c r="EJ13" s="922"/>
      <c r="EK13" s="922"/>
      <c r="EL13" s="922"/>
      <c r="EM13" s="922"/>
      <c r="EN13" s="922"/>
      <c r="EO13" s="922"/>
      <c r="EP13" s="922"/>
      <c r="EQ13" s="922"/>
      <c r="ER13" s="922"/>
      <c r="ES13" s="922"/>
      <c r="ET13" s="922"/>
      <c r="EU13" s="922"/>
      <c r="EV13" s="922"/>
      <c r="EW13" s="922"/>
    </row>
    <row r="14" spans="1:153">
      <c r="A14" s="320">
        <v>5</v>
      </c>
      <c r="B14" s="759"/>
      <c r="C14" s="759"/>
      <c r="D14" s="759"/>
      <c r="E14" s="760"/>
      <c r="F14" s="761"/>
      <c r="G14" s="761"/>
      <c r="H14" s="762"/>
      <c r="I14" s="762"/>
      <c r="J14" s="763"/>
      <c r="K14" s="763"/>
      <c r="L14" s="763"/>
      <c r="M14" s="763"/>
      <c r="N14" s="764"/>
      <c r="O14" s="761"/>
      <c r="P14" s="761"/>
      <c r="Q14" s="761"/>
      <c r="R14" s="761"/>
      <c r="S14" s="761"/>
      <c r="T14" s="761"/>
      <c r="U14" s="761"/>
      <c r="V14" s="761"/>
      <c r="W14" s="765"/>
      <c r="X14" s="766"/>
      <c r="Y14" s="766"/>
      <c r="Z14" s="766"/>
      <c r="AA14" s="766"/>
      <c r="AB14" s="766"/>
      <c r="AC14" s="766"/>
      <c r="AD14" s="920">
        <v>5</v>
      </c>
      <c r="AE14" s="922"/>
      <c r="AF14" s="922"/>
      <c r="AG14" s="922"/>
      <c r="AH14" s="922"/>
      <c r="AI14" s="922"/>
      <c r="AJ14" s="922"/>
      <c r="AK14" s="922"/>
      <c r="AL14" s="922"/>
      <c r="AM14" s="922"/>
      <c r="AN14" s="922"/>
      <c r="AO14" s="922"/>
      <c r="AP14" s="922"/>
      <c r="AQ14" s="922"/>
      <c r="AR14" s="922"/>
      <c r="AS14" s="922"/>
      <c r="AT14" s="922"/>
      <c r="AU14" s="922"/>
      <c r="AV14" s="922"/>
      <c r="AW14" s="922"/>
      <c r="AX14" s="922"/>
      <c r="AY14" s="922"/>
      <c r="AZ14" s="922"/>
      <c r="BA14" s="922"/>
      <c r="BB14" s="922"/>
      <c r="BC14" s="922"/>
      <c r="BD14" s="922"/>
      <c r="BE14" s="922"/>
      <c r="BF14" s="922"/>
      <c r="BG14" s="922"/>
      <c r="BH14" s="922"/>
      <c r="BI14" s="922"/>
      <c r="BJ14" s="922"/>
      <c r="BK14" s="922"/>
      <c r="BL14" s="922"/>
      <c r="BM14" s="922"/>
      <c r="BN14" s="922"/>
      <c r="BO14" s="922"/>
      <c r="BP14" s="922"/>
      <c r="BQ14" s="922"/>
      <c r="BR14" s="922"/>
      <c r="BS14" s="922"/>
      <c r="BT14" s="922"/>
      <c r="BU14" s="922"/>
      <c r="BV14" s="922"/>
      <c r="BW14" s="922"/>
      <c r="BX14" s="922"/>
      <c r="BY14" s="922"/>
      <c r="BZ14" s="922"/>
      <c r="CA14" s="922"/>
      <c r="CB14" s="922"/>
      <c r="CC14" s="922"/>
      <c r="CD14" s="922"/>
      <c r="CE14" s="922"/>
      <c r="CF14" s="922"/>
      <c r="CG14" s="922"/>
      <c r="CH14" s="922"/>
      <c r="CI14" s="922"/>
      <c r="CJ14" s="922"/>
      <c r="CK14" s="922"/>
      <c r="CL14" s="922"/>
      <c r="CM14" s="922"/>
      <c r="CN14" s="922"/>
      <c r="CO14" s="922"/>
      <c r="CP14" s="922"/>
      <c r="CQ14" s="922"/>
      <c r="CR14" s="922"/>
      <c r="CS14" s="922"/>
      <c r="CT14" s="922"/>
      <c r="CU14" s="922"/>
      <c r="CV14" s="922"/>
      <c r="CW14" s="922"/>
      <c r="CX14" s="922"/>
      <c r="CY14" s="922"/>
      <c r="CZ14" s="922"/>
      <c r="DA14" s="922"/>
      <c r="DB14" s="922"/>
      <c r="DC14" s="922"/>
      <c r="DD14" s="922"/>
      <c r="DE14" s="922"/>
      <c r="DF14" s="922"/>
      <c r="DG14" s="922"/>
      <c r="DH14" s="922"/>
      <c r="DI14" s="922"/>
      <c r="DJ14" s="922"/>
      <c r="DK14" s="922"/>
      <c r="DL14" s="922"/>
      <c r="DM14" s="922"/>
      <c r="DN14" s="922"/>
      <c r="DO14" s="922"/>
      <c r="DP14" s="922"/>
      <c r="DQ14" s="922"/>
      <c r="DR14" s="922"/>
      <c r="DS14" s="922"/>
      <c r="DT14" s="922"/>
      <c r="DU14" s="922"/>
      <c r="DV14" s="922"/>
      <c r="DW14" s="922"/>
      <c r="DX14" s="922"/>
      <c r="DY14" s="922"/>
      <c r="DZ14" s="922"/>
      <c r="EA14" s="922"/>
      <c r="EB14" s="922"/>
      <c r="EC14" s="922"/>
      <c r="ED14" s="922"/>
      <c r="EE14" s="922"/>
      <c r="EF14" s="922"/>
      <c r="EG14" s="922"/>
      <c r="EH14" s="922"/>
      <c r="EI14" s="922"/>
      <c r="EJ14" s="922"/>
      <c r="EK14" s="922"/>
      <c r="EL14" s="922"/>
      <c r="EM14" s="922"/>
      <c r="EN14" s="922"/>
      <c r="EO14" s="922"/>
      <c r="EP14" s="922"/>
      <c r="EQ14" s="922"/>
      <c r="ER14" s="922"/>
      <c r="ES14" s="922"/>
      <c r="ET14" s="922"/>
      <c r="EU14" s="922"/>
      <c r="EV14" s="922"/>
      <c r="EW14" s="922"/>
    </row>
    <row r="15" spans="1:153">
      <c r="A15" s="320">
        <v>6</v>
      </c>
      <c r="B15" s="759"/>
      <c r="C15" s="759"/>
      <c r="D15" s="759"/>
      <c r="E15" s="760"/>
      <c r="F15" s="761"/>
      <c r="G15" s="761"/>
      <c r="H15" s="762"/>
      <c r="I15" s="762"/>
      <c r="J15" s="763"/>
      <c r="K15" s="763"/>
      <c r="L15" s="763"/>
      <c r="M15" s="763"/>
      <c r="N15" s="764"/>
      <c r="O15" s="761"/>
      <c r="P15" s="761"/>
      <c r="Q15" s="761"/>
      <c r="R15" s="761"/>
      <c r="S15" s="761"/>
      <c r="T15" s="761"/>
      <c r="U15" s="761"/>
      <c r="V15" s="761"/>
      <c r="W15" s="765"/>
      <c r="X15" s="766"/>
      <c r="Y15" s="766"/>
      <c r="Z15" s="766"/>
      <c r="AA15" s="766"/>
      <c r="AB15" s="766"/>
      <c r="AC15" s="766"/>
      <c r="AD15" s="920">
        <v>6</v>
      </c>
      <c r="AE15" s="922"/>
      <c r="AF15" s="922"/>
      <c r="AG15" s="922"/>
      <c r="AH15" s="922"/>
      <c r="AI15" s="922"/>
      <c r="AJ15" s="922"/>
      <c r="AK15" s="922"/>
      <c r="AL15" s="922"/>
      <c r="AM15" s="922"/>
      <c r="AN15" s="922"/>
      <c r="AO15" s="922"/>
      <c r="AP15" s="922"/>
      <c r="AQ15" s="922"/>
      <c r="AR15" s="922"/>
      <c r="AS15" s="922"/>
      <c r="AT15" s="922"/>
      <c r="AU15" s="922"/>
      <c r="AV15" s="922"/>
      <c r="AW15" s="922"/>
      <c r="AX15" s="922"/>
      <c r="AY15" s="922"/>
      <c r="AZ15" s="922"/>
      <c r="BA15" s="922"/>
      <c r="BB15" s="922"/>
      <c r="BC15" s="922"/>
      <c r="BD15" s="922"/>
      <c r="BE15" s="922"/>
      <c r="BF15" s="922"/>
      <c r="BG15" s="922"/>
      <c r="BH15" s="922"/>
      <c r="BI15" s="922"/>
      <c r="BJ15" s="922"/>
      <c r="BK15" s="922"/>
      <c r="BL15" s="922"/>
      <c r="BM15" s="922"/>
      <c r="BN15" s="922"/>
      <c r="BO15" s="922"/>
      <c r="BP15" s="922"/>
      <c r="BQ15" s="922"/>
      <c r="BR15" s="922"/>
      <c r="BS15" s="922"/>
      <c r="BT15" s="922"/>
      <c r="BU15" s="922"/>
      <c r="BV15" s="922"/>
      <c r="BW15" s="922"/>
      <c r="BX15" s="922"/>
      <c r="BY15" s="922"/>
      <c r="BZ15" s="922"/>
      <c r="CA15" s="922"/>
      <c r="CB15" s="922"/>
      <c r="CC15" s="922"/>
      <c r="CD15" s="922"/>
      <c r="CE15" s="922"/>
      <c r="CF15" s="922"/>
      <c r="CG15" s="922"/>
      <c r="CH15" s="922"/>
      <c r="CI15" s="922"/>
      <c r="CJ15" s="922"/>
      <c r="CK15" s="922"/>
      <c r="CL15" s="922"/>
      <c r="CM15" s="922"/>
      <c r="CN15" s="922"/>
      <c r="CO15" s="922"/>
      <c r="CP15" s="922"/>
      <c r="CQ15" s="922"/>
      <c r="CR15" s="922"/>
      <c r="CS15" s="922"/>
      <c r="CT15" s="922"/>
      <c r="CU15" s="922"/>
      <c r="CV15" s="922"/>
      <c r="CW15" s="922"/>
      <c r="CX15" s="922"/>
      <c r="CY15" s="922"/>
      <c r="CZ15" s="922"/>
      <c r="DA15" s="922"/>
      <c r="DB15" s="922"/>
      <c r="DC15" s="922"/>
      <c r="DD15" s="922"/>
      <c r="DE15" s="922"/>
      <c r="DF15" s="922"/>
      <c r="DG15" s="922"/>
      <c r="DH15" s="922"/>
      <c r="DI15" s="922"/>
      <c r="DJ15" s="922"/>
      <c r="DK15" s="922"/>
      <c r="DL15" s="922"/>
      <c r="DM15" s="922"/>
      <c r="DN15" s="922"/>
      <c r="DO15" s="922"/>
      <c r="DP15" s="922"/>
      <c r="DQ15" s="922"/>
      <c r="DR15" s="922"/>
      <c r="DS15" s="922"/>
      <c r="DT15" s="922"/>
      <c r="DU15" s="922"/>
      <c r="DV15" s="922"/>
      <c r="DW15" s="922"/>
      <c r="DX15" s="922"/>
      <c r="DY15" s="922"/>
      <c r="DZ15" s="922"/>
      <c r="EA15" s="922"/>
      <c r="EB15" s="922"/>
      <c r="EC15" s="922"/>
      <c r="ED15" s="922"/>
      <c r="EE15" s="922"/>
      <c r="EF15" s="922"/>
      <c r="EG15" s="922"/>
      <c r="EH15" s="922"/>
      <c r="EI15" s="922"/>
      <c r="EJ15" s="922"/>
      <c r="EK15" s="922"/>
      <c r="EL15" s="922"/>
      <c r="EM15" s="922"/>
      <c r="EN15" s="922"/>
      <c r="EO15" s="922"/>
      <c r="EP15" s="922"/>
      <c r="EQ15" s="922"/>
      <c r="ER15" s="922"/>
      <c r="ES15" s="922"/>
      <c r="ET15" s="922"/>
      <c r="EU15" s="922"/>
      <c r="EV15" s="922"/>
      <c r="EW15" s="922"/>
    </row>
    <row r="16" spans="1:153">
      <c r="A16" s="320">
        <v>7</v>
      </c>
      <c r="B16" s="759"/>
      <c r="C16" s="759"/>
      <c r="D16" s="759"/>
      <c r="E16" s="760"/>
      <c r="F16" s="761"/>
      <c r="G16" s="761"/>
      <c r="H16" s="762"/>
      <c r="I16" s="762"/>
      <c r="J16" s="763"/>
      <c r="K16" s="763"/>
      <c r="L16" s="763"/>
      <c r="M16" s="763"/>
      <c r="N16" s="764"/>
      <c r="O16" s="761"/>
      <c r="P16" s="761"/>
      <c r="Q16" s="761"/>
      <c r="R16" s="761"/>
      <c r="S16" s="761"/>
      <c r="T16" s="761"/>
      <c r="U16" s="761"/>
      <c r="V16" s="761"/>
      <c r="W16" s="765"/>
      <c r="X16" s="766"/>
      <c r="Y16" s="766"/>
      <c r="Z16" s="766"/>
      <c r="AA16" s="766"/>
      <c r="AB16" s="766"/>
      <c r="AC16" s="766"/>
      <c r="AD16" s="920">
        <v>7</v>
      </c>
      <c r="AE16" s="922"/>
      <c r="AF16" s="922"/>
      <c r="AG16" s="922"/>
      <c r="AH16" s="922"/>
      <c r="AI16" s="922"/>
      <c r="AJ16" s="922"/>
      <c r="AK16" s="922"/>
      <c r="AL16" s="922"/>
      <c r="AM16" s="922"/>
      <c r="AN16" s="922"/>
      <c r="AO16" s="922"/>
      <c r="AP16" s="922"/>
      <c r="AQ16" s="922"/>
      <c r="AR16" s="922"/>
      <c r="AS16" s="922"/>
      <c r="AT16" s="922"/>
      <c r="AU16" s="922"/>
      <c r="AV16" s="922"/>
      <c r="AW16" s="922"/>
      <c r="AX16" s="922"/>
      <c r="AY16" s="922"/>
      <c r="AZ16" s="922"/>
      <c r="BA16" s="922"/>
      <c r="BB16" s="922"/>
      <c r="BC16" s="922"/>
      <c r="BD16" s="922"/>
      <c r="BE16" s="922"/>
      <c r="BF16" s="922"/>
      <c r="BG16" s="922"/>
      <c r="BH16" s="922"/>
      <c r="BI16" s="922"/>
      <c r="BJ16" s="922"/>
      <c r="BK16" s="922"/>
      <c r="BL16" s="922"/>
      <c r="BM16" s="922"/>
      <c r="BN16" s="922"/>
      <c r="BO16" s="922"/>
      <c r="BP16" s="922"/>
      <c r="BQ16" s="922"/>
      <c r="BR16" s="922"/>
      <c r="BS16" s="922"/>
      <c r="BT16" s="922"/>
      <c r="BU16" s="922"/>
      <c r="BV16" s="922"/>
      <c r="BW16" s="922"/>
      <c r="BX16" s="922"/>
      <c r="BY16" s="922"/>
      <c r="BZ16" s="922"/>
      <c r="CA16" s="922"/>
      <c r="CB16" s="922"/>
      <c r="CC16" s="922"/>
      <c r="CD16" s="922"/>
      <c r="CE16" s="922"/>
      <c r="CF16" s="922"/>
      <c r="CG16" s="922"/>
      <c r="CH16" s="922"/>
      <c r="CI16" s="922"/>
      <c r="CJ16" s="922"/>
      <c r="CK16" s="922"/>
      <c r="CL16" s="922"/>
      <c r="CM16" s="922"/>
      <c r="CN16" s="922"/>
      <c r="CO16" s="922"/>
      <c r="CP16" s="922"/>
      <c r="CQ16" s="922"/>
      <c r="CR16" s="922"/>
      <c r="CS16" s="922"/>
      <c r="CT16" s="922"/>
      <c r="CU16" s="922"/>
      <c r="CV16" s="922"/>
      <c r="CW16" s="922"/>
      <c r="CX16" s="922"/>
      <c r="CY16" s="922"/>
      <c r="CZ16" s="922"/>
      <c r="DA16" s="922"/>
      <c r="DB16" s="922"/>
      <c r="DC16" s="922"/>
      <c r="DD16" s="922"/>
      <c r="DE16" s="922"/>
      <c r="DF16" s="922"/>
      <c r="DG16" s="922"/>
      <c r="DH16" s="922"/>
      <c r="DI16" s="922"/>
      <c r="DJ16" s="922"/>
      <c r="DK16" s="922"/>
      <c r="DL16" s="922"/>
      <c r="DM16" s="922"/>
      <c r="DN16" s="922"/>
      <c r="DO16" s="922"/>
      <c r="DP16" s="922"/>
      <c r="DQ16" s="922"/>
      <c r="DR16" s="922"/>
      <c r="DS16" s="922"/>
      <c r="DT16" s="922"/>
      <c r="DU16" s="922"/>
      <c r="DV16" s="922"/>
      <c r="DW16" s="922"/>
      <c r="DX16" s="922"/>
      <c r="DY16" s="922"/>
      <c r="DZ16" s="922"/>
      <c r="EA16" s="922"/>
      <c r="EB16" s="922"/>
      <c r="EC16" s="922"/>
      <c r="ED16" s="922"/>
      <c r="EE16" s="922"/>
      <c r="EF16" s="922"/>
      <c r="EG16" s="922"/>
      <c r="EH16" s="922"/>
      <c r="EI16" s="922"/>
      <c r="EJ16" s="922"/>
      <c r="EK16" s="922"/>
      <c r="EL16" s="922"/>
      <c r="EM16" s="922"/>
      <c r="EN16" s="922"/>
      <c r="EO16" s="922"/>
      <c r="EP16" s="922"/>
      <c r="EQ16" s="922"/>
      <c r="ER16" s="922"/>
      <c r="ES16" s="922"/>
      <c r="ET16" s="922"/>
      <c r="EU16" s="922"/>
      <c r="EV16" s="922"/>
      <c r="EW16" s="922"/>
    </row>
    <row r="17" spans="1:153">
      <c r="A17" s="320">
        <v>8</v>
      </c>
      <c r="B17" s="759"/>
      <c r="C17" s="759"/>
      <c r="D17" s="759"/>
      <c r="E17" s="760"/>
      <c r="F17" s="761"/>
      <c r="G17" s="761"/>
      <c r="H17" s="762"/>
      <c r="I17" s="762"/>
      <c r="J17" s="763"/>
      <c r="K17" s="763"/>
      <c r="L17" s="763"/>
      <c r="M17" s="763"/>
      <c r="N17" s="764"/>
      <c r="O17" s="761"/>
      <c r="P17" s="761"/>
      <c r="Q17" s="761"/>
      <c r="R17" s="761"/>
      <c r="S17" s="761"/>
      <c r="T17" s="761"/>
      <c r="U17" s="761"/>
      <c r="V17" s="761"/>
      <c r="W17" s="765"/>
      <c r="X17" s="766"/>
      <c r="Y17" s="766"/>
      <c r="Z17" s="766"/>
      <c r="AA17" s="766"/>
      <c r="AB17" s="766"/>
      <c r="AC17" s="766"/>
      <c r="AD17" s="920">
        <v>8</v>
      </c>
      <c r="AE17" s="922"/>
      <c r="AF17" s="922"/>
      <c r="AG17" s="922"/>
      <c r="AH17" s="922"/>
      <c r="AI17" s="922"/>
      <c r="AJ17" s="922"/>
      <c r="AK17" s="922"/>
      <c r="AL17" s="922"/>
      <c r="AM17" s="922"/>
      <c r="AN17" s="922"/>
      <c r="AO17" s="922"/>
      <c r="AP17" s="922"/>
      <c r="AQ17" s="922"/>
      <c r="AR17" s="922"/>
      <c r="AS17" s="922"/>
      <c r="AT17" s="922"/>
      <c r="AU17" s="922"/>
      <c r="AV17" s="922"/>
      <c r="AW17" s="922"/>
      <c r="AX17" s="922"/>
      <c r="AY17" s="922"/>
      <c r="AZ17" s="922"/>
      <c r="BA17" s="922"/>
      <c r="BB17" s="922"/>
      <c r="BC17" s="922"/>
      <c r="BD17" s="922"/>
      <c r="BE17" s="922"/>
      <c r="BF17" s="922"/>
      <c r="BG17" s="922"/>
      <c r="BH17" s="922"/>
      <c r="BI17" s="922"/>
      <c r="BJ17" s="922"/>
      <c r="BK17" s="922"/>
      <c r="BL17" s="922"/>
      <c r="BM17" s="922"/>
      <c r="BN17" s="922"/>
      <c r="BO17" s="922"/>
      <c r="BP17" s="922"/>
      <c r="BQ17" s="922"/>
      <c r="BR17" s="922"/>
      <c r="BS17" s="922"/>
      <c r="BT17" s="922"/>
      <c r="BU17" s="922"/>
      <c r="BV17" s="922"/>
      <c r="BW17" s="922"/>
      <c r="BX17" s="922"/>
      <c r="BY17" s="922"/>
      <c r="BZ17" s="922"/>
      <c r="CA17" s="922"/>
      <c r="CB17" s="922"/>
      <c r="CC17" s="922"/>
      <c r="CD17" s="922"/>
      <c r="CE17" s="922"/>
      <c r="CF17" s="922"/>
      <c r="CG17" s="922"/>
      <c r="CH17" s="922"/>
      <c r="CI17" s="922"/>
      <c r="CJ17" s="922"/>
      <c r="CK17" s="922"/>
      <c r="CL17" s="922"/>
      <c r="CM17" s="922"/>
      <c r="CN17" s="922"/>
      <c r="CO17" s="922"/>
      <c r="CP17" s="922"/>
      <c r="CQ17" s="922"/>
      <c r="CR17" s="922"/>
      <c r="CS17" s="922"/>
      <c r="CT17" s="922"/>
      <c r="CU17" s="922"/>
      <c r="CV17" s="922"/>
      <c r="CW17" s="922"/>
      <c r="CX17" s="922"/>
      <c r="CY17" s="922"/>
      <c r="CZ17" s="922"/>
      <c r="DA17" s="922"/>
      <c r="DB17" s="922"/>
      <c r="DC17" s="922"/>
      <c r="DD17" s="922"/>
      <c r="DE17" s="922"/>
      <c r="DF17" s="922"/>
      <c r="DG17" s="922"/>
      <c r="DH17" s="922"/>
      <c r="DI17" s="922"/>
      <c r="DJ17" s="922"/>
      <c r="DK17" s="922"/>
      <c r="DL17" s="922"/>
      <c r="DM17" s="922"/>
      <c r="DN17" s="922"/>
      <c r="DO17" s="922"/>
      <c r="DP17" s="922"/>
      <c r="DQ17" s="922"/>
      <c r="DR17" s="922"/>
      <c r="DS17" s="922"/>
      <c r="DT17" s="922"/>
      <c r="DU17" s="922"/>
      <c r="DV17" s="922"/>
      <c r="DW17" s="922"/>
      <c r="DX17" s="922"/>
      <c r="DY17" s="922"/>
      <c r="DZ17" s="922"/>
      <c r="EA17" s="922"/>
      <c r="EB17" s="922"/>
      <c r="EC17" s="922"/>
      <c r="ED17" s="922"/>
      <c r="EE17" s="922"/>
      <c r="EF17" s="922"/>
      <c r="EG17" s="922"/>
      <c r="EH17" s="922"/>
      <c r="EI17" s="922"/>
      <c r="EJ17" s="922"/>
      <c r="EK17" s="922"/>
      <c r="EL17" s="922"/>
      <c r="EM17" s="922"/>
      <c r="EN17" s="922"/>
      <c r="EO17" s="922"/>
      <c r="EP17" s="922"/>
      <c r="EQ17" s="922"/>
      <c r="ER17" s="922"/>
      <c r="ES17" s="922"/>
      <c r="ET17" s="922"/>
      <c r="EU17" s="922"/>
      <c r="EV17" s="922"/>
      <c r="EW17" s="922"/>
    </row>
    <row r="18" spans="1:153">
      <c r="A18" s="320">
        <v>9</v>
      </c>
      <c r="B18" s="759"/>
      <c r="C18" s="759"/>
      <c r="D18" s="759"/>
      <c r="E18" s="760"/>
      <c r="F18" s="761"/>
      <c r="G18" s="761"/>
      <c r="H18" s="762"/>
      <c r="I18" s="762"/>
      <c r="J18" s="763"/>
      <c r="K18" s="763"/>
      <c r="L18" s="763"/>
      <c r="M18" s="763"/>
      <c r="N18" s="764"/>
      <c r="O18" s="761"/>
      <c r="P18" s="761"/>
      <c r="Q18" s="761"/>
      <c r="R18" s="761"/>
      <c r="S18" s="761"/>
      <c r="T18" s="761"/>
      <c r="U18" s="761"/>
      <c r="V18" s="761"/>
      <c r="W18" s="765"/>
      <c r="X18" s="766"/>
      <c r="Y18" s="766"/>
      <c r="Z18" s="766"/>
      <c r="AA18" s="766"/>
      <c r="AB18" s="766"/>
      <c r="AC18" s="766"/>
      <c r="AD18" s="920">
        <v>9</v>
      </c>
      <c r="AE18" s="922"/>
      <c r="AF18" s="922"/>
      <c r="AG18" s="922"/>
      <c r="AH18" s="922"/>
      <c r="AI18" s="922"/>
      <c r="AJ18" s="922"/>
      <c r="AK18" s="922"/>
      <c r="AL18" s="922"/>
      <c r="AM18" s="922"/>
      <c r="AN18" s="922"/>
      <c r="AO18" s="922"/>
      <c r="AP18" s="922"/>
      <c r="AQ18" s="922"/>
      <c r="AR18" s="922"/>
      <c r="AS18" s="922"/>
      <c r="AT18" s="922"/>
      <c r="AU18" s="922"/>
      <c r="AV18" s="922"/>
      <c r="AW18" s="922"/>
      <c r="AX18" s="922"/>
      <c r="AY18" s="922"/>
      <c r="AZ18" s="922"/>
      <c r="BA18" s="922"/>
      <c r="BB18" s="922"/>
      <c r="BC18" s="922"/>
      <c r="BD18" s="922"/>
      <c r="BE18" s="922"/>
      <c r="BF18" s="922"/>
      <c r="BG18" s="922"/>
      <c r="BH18" s="922"/>
      <c r="BI18" s="922"/>
      <c r="BJ18" s="922"/>
      <c r="BK18" s="922"/>
      <c r="BL18" s="922"/>
      <c r="BM18" s="922"/>
      <c r="BN18" s="922"/>
      <c r="BO18" s="922"/>
      <c r="BP18" s="922"/>
      <c r="BQ18" s="922"/>
      <c r="BR18" s="922"/>
      <c r="BS18" s="922"/>
      <c r="BT18" s="922"/>
      <c r="BU18" s="922"/>
      <c r="BV18" s="922"/>
      <c r="BW18" s="922"/>
      <c r="BX18" s="922"/>
      <c r="BY18" s="922"/>
      <c r="BZ18" s="922"/>
      <c r="CA18" s="922"/>
      <c r="CB18" s="922"/>
      <c r="CC18" s="922"/>
      <c r="CD18" s="922"/>
      <c r="CE18" s="922"/>
      <c r="CF18" s="922"/>
      <c r="CG18" s="922"/>
      <c r="CH18" s="922"/>
      <c r="CI18" s="922"/>
      <c r="CJ18" s="922"/>
      <c r="CK18" s="922"/>
      <c r="CL18" s="922"/>
      <c r="CM18" s="922"/>
      <c r="CN18" s="922"/>
      <c r="CO18" s="922"/>
      <c r="CP18" s="922"/>
      <c r="CQ18" s="922"/>
      <c r="CR18" s="922"/>
      <c r="CS18" s="922"/>
      <c r="CT18" s="922"/>
      <c r="CU18" s="922"/>
      <c r="CV18" s="922"/>
      <c r="CW18" s="922"/>
      <c r="CX18" s="922"/>
      <c r="CY18" s="922"/>
      <c r="CZ18" s="922"/>
      <c r="DA18" s="922"/>
      <c r="DB18" s="922"/>
      <c r="DC18" s="922"/>
      <c r="DD18" s="922"/>
      <c r="DE18" s="922"/>
      <c r="DF18" s="922"/>
      <c r="DG18" s="922"/>
      <c r="DH18" s="922"/>
      <c r="DI18" s="922"/>
      <c r="DJ18" s="922"/>
      <c r="DK18" s="922"/>
      <c r="DL18" s="922"/>
      <c r="DM18" s="922"/>
      <c r="DN18" s="922"/>
      <c r="DO18" s="922"/>
      <c r="DP18" s="922"/>
      <c r="DQ18" s="922"/>
      <c r="DR18" s="922"/>
      <c r="DS18" s="922"/>
      <c r="DT18" s="922"/>
      <c r="DU18" s="922"/>
      <c r="DV18" s="922"/>
      <c r="DW18" s="922"/>
      <c r="DX18" s="922"/>
      <c r="DY18" s="922"/>
      <c r="DZ18" s="922"/>
      <c r="EA18" s="922"/>
      <c r="EB18" s="922"/>
      <c r="EC18" s="922"/>
      <c r="ED18" s="922"/>
      <c r="EE18" s="922"/>
      <c r="EF18" s="922"/>
      <c r="EG18" s="922"/>
      <c r="EH18" s="922"/>
      <c r="EI18" s="922"/>
      <c r="EJ18" s="922"/>
      <c r="EK18" s="922"/>
      <c r="EL18" s="922"/>
      <c r="EM18" s="922"/>
      <c r="EN18" s="922"/>
      <c r="EO18" s="922"/>
      <c r="EP18" s="922"/>
      <c r="EQ18" s="922"/>
      <c r="ER18" s="922"/>
      <c r="ES18" s="922"/>
      <c r="ET18" s="922"/>
      <c r="EU18" s="922"/>
      <c r="EV18" s="922"/>
      <c r="EW18" s="922"/>
    </row>
    <row r="19" spans="1:153">
      <c r="A19" s="320">
        <v>10</v>
      </c>
      <c r="B19" s="759"/>
      <c r="C19" s="759"/>
      <c r="D19" s="759"/>
      <c r="E19" s="760"/>
      <c r="F19" s="761"/>
      <c r="G19" s="761"/>
      <c r="H19" s="762"/>
      <c r="I19" s="762"/>
      <c r="J19" s="763"/>
      <c r="K19" s="763"/>
      <c r="L19" s="763"/>
      <c r="M19" s="763"/>
      <c r="N19" s="764"/>
      <c r="O19" s="761"/>
      <c r="P19" s="761"/>
      <c r="Q19" s="761"/>
      <c r="R19" s="761"/>
      <c r="S19" s="761"/>
      <c r="T19" s="761"/>
      <c r="U19" s="761"/>
      <c r="V19" s="761"/>
      <c r="W19" s="765"/>
      <c r="X19" s="766"/>
      <c r="Y19" s="766"/>
      <c r="Z19" s="766"/>
      <c r="AA19" s="766"/>
      <c r="AB19" s="766"/>
      <c r="AC19" s="766"/>
      <c r="AD19" s="920">
        <v>10</v>
      </c>
      <c r="AE19" s="922"/>
      <c r="AF19" s="922"/>
      <c r="AG19" s="922"/>
      <c r="AH19" s="922"/>
      <c r="AI19" s="922"/>
      <c r="AJ19" s="922"/>
      <c r="AK19" s="922"/>
      <c r="AL19" s="922"/>
      <c r="AM19" s="922"/>
      <c r="AN19" s="922"/>
      <c r="AO19" s="922"/>
      <c r="AP19" s="922"/>
      <c r="AQ19" s="922"/>
      <c r="AR19" s="922"/>
      <c r="AS19" s="922"/>
      <c r="AT19" s="922"/>
      <c r="AU19" s="922"/>
      <c r="AV19" s="922"/>
      <c r="AW19" s="922"/>
      <c r="AX19" s="922"/>
      <c r="AY19" s="922"/>
      <c r="AZ19" s="922"/>
      <c r="BA19" s="922"/>
      <c r="BB19" s="922"/>
      <c r="BC19" s="922"/>
      <c r="BD19" s="922"/>
      <c r="BE19" s="922"/>
      <c r="BF19" s="922"/>
      <c r="BG19" s="922"/>
      <c r="BH19" s="922"/>
      <c r="BI19" s="922"/>
      <c r="BJ19" s="922"/>
      <c r="BK19" s="922"/>
      <c r="BL19" s="922"/>
      <c r="BM19" s="922"/>
      <c r="BN19" s="922"/>
      <c r="BO19" s="922"/>
      <c r="BP19" s="922"/>
      <c r="BQ19" s="922"/>
      <c r="BR19" s="922"/>
      <c r="BS19" s="922"/>
      <c r="BT19" s="922"/>
      <c r="BU19" s="922"/>
      <c r="BV19" s="922"/>
      <c r="BW19" s="922"/>
      <c r="BX19" s="922"/>
      <c r="BY19" s="922"/>
      <c r="BZ19" s="922"/>
      <c r="CA19" s="922"/>
      <c r="CB19" s="922"/>
      <c r="CC19" s="922"/>
      <c r="CD19" s="922"/>
      <c r="CE19" s="922"/>
      <c r="CF19" s="922"/>
      <c r="CG19" s="922"/>
      <c r="CH19" s="922"/>
      <c r="CI19" s="922"/>
      <c r="CJ19" s="922"/>
      <c r="CK19" s="922"/>
      <c r="CL19" s="922"/>
      <c r="CM19" s="922"/>
      <c r="CN19" s="922"/>
      <c r="CO19" s="922"/>
      <c r="CP19" s="922"/>
      <c r="CQ19" s="922"/>
      <c r="CR19" s="922"/>
      <c r="CS19" s="922"/>
      <c r="CT19" s="922"/>
      <c r="CU19" s="922"/>
      <c r="CV19" s="922"/>
      <c r="CW19" s="922"/>
      <c r="CX19" s="922"/>
      <c r="CY19" s="922"/>
      <c r="CZ19" s="922"/>
      <c r="DA19" s="922"/>
      <c r="DB19" s="922"/>
      <c r="DC19" s="922"/>
      <c r="DD19" s="922"/>
      <c r="DE19" s="922"/>
      <c r="DF19" s="922"/>
      <c r="DG19" s="922"/>
      <c r="DH19" s="922"/>
      <c r="DI19" s="922"/>
      <c r="DJ19" s="922"/>
      <c r="DK19" s="922"/>
      <c r="DL19" s="922"/>
      <c r="DM19" s="922"/>
      <c r="DN19" s="922"/>
      <c r="DO19" s="922"/>
      <c r="DP19" s="922"/>
      <c r="DQ19" s="922"/>
      <c r="DR19" s="922"/>
      <c r="DS19" s="922"/>
      <c r="DT19" s="922"/>
      <c r="DU19" s="922"/>
      <c r="DV19" s="922"/>
      <c r="DW19" s="922"/>
      <c r="DX19" s="922"/>
      <c r="DY19" s="922"/>
      <c r="DZ19" s="922"/>
      <c r="EA19" s="922"/>
      <c r="EB19" s="922"/>
      <c r="EC19" s="922"/>
      <c r="ED19" s="922"/>
      <c r="EE19" s="922"/>
      <c r="EF19" s="922"/>
      <c r="EG19" s="922"/>
      <c r="EH19" s="922"/>
      <c r="EI19" s="922"/>
      <c r="EJ19" s="922"/>
      <c r="EK19" s="922"/>
      <c r="EL19" s="922"/>
      <c r="EM19" s="922"/>
      <c r="EN19" s="922"/>
      <c r="EO19" s="922"/>
      <c r="EP19" s="922"/>
      <c r="EQ19" s="922"/>
      <c r="ER19" s="922"/>
      <c r="ES19" s="922"/>
      <c r="ET19" s="922"/>
      <c r="EU19" s="922"/>
      <c r="EV19" s="922"/>
      <c r="EW19" s="922"/>
    </row>
    <row r="20" spans="1:153">
      <c r="A20" s="320">
        <v>11</v>
      </c>
      <c r="B20" s="759"/>
      <c r="C20" s="759"/>
      <c r="D20" s="759"/>
      <c r="E20" s="760"/>
      <c r="F20" s="761"/>
      <c r="G20" s="761"/>
      <c r="H20" s="762"/>
      <c r="I20" s="762"/>
      <c r="J20" s="763"/>
      <c r="K20" s="763"/>
      <c r="L20" s="763"/>
      <c r="M20" s="763"/>
      <c r="N20" s="764"/>
      <c r="O20" s="761"/>
      <c r="P20" s="761"/>
      <c r="Q20" s="761"/>
      <c r="R20" s="761"/>
      <c r="S20" s="761"/>
      <c r="T20" s="761"/>
      <c r="U20" s="761"/>
      <c r="V20" s="761"/>
      <c r="W20" s="765"/>
      <c r="X20" s="766"/>
      <c r="Y20" s="766"/>
      <c r="Z20" s="766"/>
      <c r="AA20" s="766"/>
      <c r="AB20" s="766"/>
      <c r="AC20" s="766"/>
      <c r="AD20" s="920">
        <v>11</v>
      </c>
      <c r="AE20" s="922"/>
      <c r="AF20" s="922"/>
      <c r="AG20" s="922"/>
      <c r="AH20" s="922"/>
      <c r="AI20" s="922"/>
      <c r="AJ20" s="922"/>
      <c r="AK20" s="922"/>
      <c r="AL20" s="922"/>
      <c r="AM20" s="922"/>
      <c r="AN20" s="922"/>
      <c r="AO20" s="922"/>
      <c r="AP20" s="922"/>
      <c r="AQ20" s="922"/>
      <c r="AR20" s="922"/>
      <c r="AS20" s="922"/>
      <c r="AT20" s="922"/>
      <c r="AU20" s="922"/>
      <c r="AV20" s="922"/>
      <c r="AW20" s="922"/>
      <c r="AX20" s="922"/>
      <c r="AY20" s="922"/>
      <c r="AZ20" s="922"/>
      <c r="BA20" s="922"/>
      <c r="BB20" s="922"/>
      <c r="BC20" s="922"/>
      <c r="BD20" s="922"/>
      <c r="BE20" s="922"/>
      <c r="BF20" s="922"/>
      <c r="BG20" s="922"/>
      <c r="BH20" s="922"/>
      <c r="BI20" s="922"/>
      <c r="BJ20" s="922"/>
      <c r="BK20" s="922"/>
      <c r="BL20" s="922"/>
      <c r="BM20" s="922"/>
      <c r="BN20" s="922"/>
      <c r="BO20" s="922"/>
      <c r="BP20" s="922"/>
      <c r="BQ20" s="922"/>
      <c r="BR20" s="922"/>
      <c r="BS20" s="922"/>
      <c r="BT20" s="922"/>
      <c r="BU20" s="922"/>
      <c r="BV20" s="922"/>
      <c r="BW20" s="922"/>
      <c r="BX20" s="922"/>
      <c r="BY20" s="922"/>
      <c r="BZ20" s="922"/>
      <c r="CA20" s="922"/>
      <c r="CB20" s="922"/>
      <c r="CC20" s="922"/>
      <c r="CD20" s="922"/>
      <c r="CE20" s="922"/>
      <c r="CF20" s="922"/>
      <c r="CG20" s="922"/>
      <c r="CH20" s="922"/>
      <c r="CI20" s="922"/>
      <c r="CJ20" s="922"/>
      <c r="CK20" s="922"/>
      <c r="CL20" s="922"/>
      <c r="CM20" s="922"/>
      <c r="CN20" s="922"/>
      <c r="CO20" s="922"/>
      <c r="CP20" s="922"/>
      <c r="CQ20" s="922"/>
      <c r="CR20" s="922"/>
      <c r="CS20" s="922"/>
      <c r="CT20" s="922"/>
      <c r="CU20" s="922"/>
      <c r="CV20" s="922"/>
      <c r="CW20" s="922"/>
      <c r="CX20" s="922"/>
      <c r="CY20" s="922"/>
      <c r="CZ20" s="922"/>
      <c r="DA20" s="922"/>
      <c r="DB20" s="922"/>
      <c r="DC20" s="922"/>
      <c r="DD20" s="922"/>
      <c r="DE20" s="922"/>
      <c r="DF20" s="922"/>
      <c r="DG20" s="922"/>
      <c r="DH20" s="922"/>
      <c r="DI20" s="922"/>
      <c r="DJ20" s="922"/>
      <c r="DK20" s="922"/>
      <c r="DL20" s="922"/>
      <c r="DM20" s="922"/>
      <c r="DN20" s="922"/>
      <c r="DO20" s="922"/>
      <c r="DP20" s="922"/>
      <c r="DQ20" s="922"/>
      <c r="DR20" s="922"/>
      <c r="DS20" s="922"/>
      <c r="DT20" s="922"/>
      <c r="DU20" s="922"/>
      <c r="DV20" s="922"/>
      <c r="DW20" s="922"/>
      <c r="DX20" s="922"/>
      <c r="DY20" s="922"/>
      <c r="DZ20" s="922"/>
      <c r="EA20" s="922"/>
      <c r="EB20" s="922"/>
      <c r="EC20" s="922"/>
      <c r="ED20" s="922"/>
      <c r="EE20" s="922"/>
      <c r="EF20" s="922"/>
      <c r="EG20" s="922"/>
      <c r="EH20" s="922"/>
      <c r="EI20" s="922"/>
      <c r="EJ20" s="922"/>
      <c r="EK20" s="922"/>
      <c r="EL20" s="922"/>
      <c r="EM20" s="922"/>
      <c r="EN20" s="922"/>
      <c r="EO20" s="922"/>
      <c r="EP20" s="922"/>
      <c r="EQ20" s="922"/>
      <c r="ER20" s="922"/>
      <c r="ES20" s="922"/>
      <c r="ET20" s="922"/>
      <c r="EU20" s="922"/>
      <c r="EV20" s="922"/>
      <c r="EW20" s="922"/>
    </row>
    <row r="21" spans="1:153">
      <c r="A21" s="320">
        <v>12</v>
      </c>
      <c r="B21" s="759"/>
      <c r="C21" s="759"/>
      <c r="D21" s="759"/>
      <c r="E21" s="760"/>
      <c r="F21" s="761"/>
      <c r="G21" s="761"/>
      <c r="H21" s="762"/>
      <c r="I21" s="762"/>
      <c r="J21" s="763"/>
      <c r="K21" s="763"/>
      <c r="L21" s="763"/>
      <c r="M21" s="763"/>
      <c r="N21" s="764"/>
      <c r="O21" s="761"/>
      <c r="P21" s="761"/>
      <c r="Q21" s="761"/>
      <c r="R21" s="761"/>
      <c r="S21" s="761"/>
      <c r="T21" s="761"/>
      <c r="U21" s="761"/>
      <c r="V21" s="761"/>
      <c r="W21" s="765"/>
      <c r="X21" s="766"/>
      <c r="Y21" s="766"/>
      <c r="Z21" s="766"/>
      <c r="AA21" s="766"/>
      <c r="AB21" s="766"/>
      <c r="AC21" s="766"/>
      <c r="AD21" s="920">
        <v>12</v>
      </c>
      <c r="AE21" s="922"/>
      <c r="AF21" s="922"/>
      <c r="AG21" s="922"/>
      <c r="AH21" s="922"/>
      <c r="AI21" s="922"/>
      <c r="AJ21" s="922"/>
      <c r="AK21" s="922"/>
      <c r="AL21" s="922"/>
      <c r="AM21" s="922"/>
      <c r="AN21" s="922"/>
      <c r="AO21" s="922"/>
      <c r="AP21" s="922"/>
      <c r="AQ21" s="922"/>
      <c r="AR21" s="922"/>
      <c r="AS21" s="922"/>
      <c r="AT21" s="922"/>
      <c r="AU21" s="922"/>
      <c r="AV21" s="922"/>
      <c r="AW21" s="922"/>
      <c r="AX21" s="922"/>
      <c r="AY21" s="922"/>
      <c r="AZ21" s="922"/>
      <c r="BA21" s="922"/>
      <c r="BB21" s="922"/>
      <c r="BC21" s="922"/>
      <c r="BD21" s="922"/>
      <c r="BE21" s="922"/>
      <c r="BF21" s="922"/>
      <c r="BG21" s="922"/>
      <c r="BH21" s="922"/>
      <c r="BI21" s="922"/>
      <c r="BJ21" s="922"/>
      <c r="BK21" s="922"/>
      <c r="BL21" s="922"/>
      <c r="BM21" s="922"/>
      <c r="BN21" s="922"/>
      <c r="BO21" s="922"/>
      <c r="BP21" s="922"/>
      <c r="BQ21" s="922"/>
      <c r="BR21" s="922"/>
      <c r="BS21" s="922"/>
      <c r="BT21" s="922"/>
      <c r="BU21" s="922"/>
      <c r="BV21" s="922"/>
      <c r="BW21" s="922"/>
      <c r="BX21" s="922"/>
      <c r="BY21" s="922"/>
      <c r="BZ21" s="922"/>
      <c r="CA21" s="922"/>
      <c r="CB21" s="922"/>
      <c r="CC21" s="922"/>
      <c r="CD21" s="922"/>
      <c r="CE21" s="922"/>
      <c r="CF21" s="922"/>
      <c r="CG21" s="922"/>
      <c r="CH21" s="922"/>
      <c r="CI21" s="922"/>
      <c r="CJ21" s="922"/>
      <c r="CK21" s="922"/>
      <c r="CL21" s="922"/>
      <c r="CM21" s="922"/>
      <c r="CN21" s="922"/>
      <c r="CO21" s="922"/>
      <c r="CP21" s="922"/>
      <c r="CQ21" s="922"/>
      <c r="CR21" s="922"/>
      <c r="CS21" s="922"/>
      <c r="CT21" s="922"/>
      <c r="CU21" s="922"/>
      <c r="CV21" s="922"/>
      <c r="CW21" s="922"/>
      <c r="CX21" s="922"/>
      <c r="CY21" s="922"/>
      <c r="CZ21" s="922"/>
      <c r="DA21" s="922"/>
      <c r="DB21" s="922"/>
      <c r="DC21" s="922"/>
      <c r="DD21" s="922"/>
      <c r="DE21" s="922"/>
      <c r="DF21" s="922"/>
      <c r="DG21" s="922"/>
      <c r="DH21" s="922"/>
      <c r="DI21" s="922"/>
      <c r="DJ21" s="922"/>
      <c r="DK21" s="922"/>
      <c r="DL21" s="922"/>
      <c r="DM21" s="922"/>
      <c r="DN21" s="922"/>
      <c r="DO21" s="922"/>
      <c r="DP21" s="922"/>
      <c r="DQ21" s="922"/>
      <c r="DR21" s="922"/>
      <c r="DS21" s="922"/>
      <c r="DT21" s="922"/>
      <c r="DU21" s="922"/>
      <c r="DV21" s="922"/>
      <c r="DW21" s="922"/>
      <c r="DX21" s="922"/>
      <c r="DY21" s="922"/>
      <c r="DZ21" s="922"/>
      <c r="EA21" s="922"/>
      <c r="EB21" s="922"/>
      <c r="EC21" s="922"/>
      <c r="ED21" s="922"/>
      <c r="EE21" s="922"/>
      <c r="EF21" s="922"/>
      <c r="EG21" s="922"/>
      <c r="EH21" s="922"/>
      <c r="EI21" s="922"/>
      <c r="EJ21" s="922"/>
      <c r="EK21" s="922"/>
      <c r="EL21" s="922"/>
      <c r="EM21" s="922"/>
      <c r="EN21" s="922"/>
      <c r="EO21" s="922"/>
      <c r="EP21" s="922"/>
      <c r="EQ21" s="922"/>
      <c r="ER21" s="922"/>
      <c r="ES21" s="922"/>
      <c r="ET21" s="922"/>
      <c r="EU21" s="922"/>
      <c r="EV21" s="922"/>
      <c r="EW21" s="922"/>
    </row>
    <row r="22" spans="1:153">
      <c r="A22" s="320">
        <v>13</v>
      </c>
      <c r="B22" s="759"/>
      <c r="C22" s="759"/>
      <c r="D22" s="759"/>
      <c r="E22" s="760"/>
      <c r="F22" s="761"/>
      <c r="G22" s="761"/>
      <c r="H22" s="762"/>
      <c r="I22" s="762"/>
      <c r="J22" s="763"/>
      <c r="K22" s="763"/>
      <c r="L22" s="763"/>
      <c r="M22" s="763"/>
      <c r="N22" s="764"/>
      <c r="O22" s="761"/>
      <c r="P22" s="761"/>
      <c r="Q22" s="761"/>
      <c r="R22" s="761"/>
      <c r="S22" s="761"/>
      <c r="T22" s="761"/>
      <c r="U22" s="761"/>
      <c r="V22" s="761"/>
      <c r="W22" s="765"/>
      <c r="X22" s="766"/>
      <c r="Y22" s="766"/>
      <c r="Z22" s="766"/>
      <c r="AA22" s="766"/>
      <c r="AB22" s="766"/>
      <c r="AC22" s="766"/>
      <c r="AD22" s="920">
        <v>13</v>
      </c>
      <c r="AE22" s="922"/>
      <c r="AF22" s="922"/>
      <c r="AG22" s="922"/>
      <c r="AH22" s="922"/>
      <c r="AI22" s="922"/>
      <c r="AJ22" s="922"/>
      <c r="AK22" s="922"/>
      <c r="AL22" s="922"/>
      <c r="AM22" s="922"/>
      <c r="AN22" s="922"/>
      <c r="AO22" s="922"/>
      <c r="AP22" s="922"/>
      <c r="AQ22" s="922"/>
      <c r="AR22" s="922"/>
      <c r="AS22" s="922"/>
      <c r="AT22" s="922"/>
      <c r="AU22" s="922"/>
      <c r="AV22" s="922"/>
      <c r="AW22" s="922"/>
      <c r="AX22" s="922"/>
      <c r="AY22" s="922"/>
      <c r="AZ22" s="922"/>
      <c r="BA22" s="922"/>
      <c r="BB22" s="922"/>
      <c r="BC22" s="922"/>
      <c r="BD22" s="922"/>
      <c r="BE22" s="922"/>
      <c r="BF22" s="922"/>
      <c r="BG22" s="922"/>
      <c r="BH22" s="922"/>
      <c r="BI22" s="922"/>
      <c r="BJ22" s="922"/>
      <c r="BK22" s="922"/>
      <c r="BL22" s="922"/>
      <c r="BM22" s="922"/>
      <c r="BN22" s="922"/>
      <c r="BO22" s="922"/>
      <c r="BP22" s="922"/>
      <c r="BQ22" s="922"/>
      <c r="BR22" s="922"/>
      <c r="BS22" s="922"/>
      <c r="BT22" s="922"/>
      <c r="BU22" s="922"/>
      <c r="BV22" s="922"/>
      <c r="BW22" s="922"/>
      <c r="BX22" s="922"/>
      <c r="BY22" s="922"/>
      <c r="BZ22" s="922"/>
      <c r="CA22" s="922"/>
      <c r="CB22" s="922"/>
      <c r="CC22" s="922"/>
      <c r="CD22" s="922"/>
      <c r="CE22" s="922"/>
      <c r="CF22" s="922"/>
      <c r="CG22" s="922"/>
      <c r="CH22" s="922"/>
      <c r="CI22" s="922"/>
      <c r="CJ22" s="922"/>
      <c r="CK22" s="922"/>
      <c r="CL22" s="922"/>
      <c r="CM22" s="922"/>
      <c r="CN22" s="922"/>
      <c r="CO22" s="922"/>
      <c r="CP22" s="922"/>
      <c r="CQ22" s="922"/>
      <c r="CR22" s="922"/>
      <c r="CS22" s="922"/>
      <c r="CT22" s="922"/>
      <c r="CU22" s="922"/>
      <c r="CV22" s="922"/>
      <c r="CW22" s="922"/>
      <c r="CX22" s="922"/>
      <c r="CY22" s="922"/>
      <c r="CZ22" s="922"/>
      <c r="DA22" s="922"/>
      <c r="DB22" s="922"/>
      <c r="DC22" s="922"/>
      <c r="DD22" s="922"/>
      <c r="DE22" s="922"/>
      <c r="DF22" s="922"/>
      <c r="DG22" s="922"/>
      <c r="DH22" s="922"/>
      <c r="DI22" s="922"/>
      <c r="DJ22" s="922"/>
      <c r="DK22" s="922"/>
      <c r="DL22" s="922"/>
      <c r="DM22" s="922"/>
      <c r="DN22" s="922"/>
      <c r="DO22" s="922"/>
      <c r="DP22" s="922"/>
      <c r="DQ22" s="922"/>
      <c r="DR22" s="922"/>
      <c r="DS22" s="922"/>
      <c r="DT22" s="922"/>
      <c r="DU22" s="922"/>
      <c r="DV22" s="922"/>
      <c r="DW22" s="922"/>
      <c r="DX22" s="922"/>
      <c r="DY22" s="922"/>
      <c r="DZ22" s="922"/>
      <c r="EA22" s="922"/>
      <c r="EB22" s="922"/>
      <c r="EC22" s="922"/>
      <c r="ED22" s="922"/>
      <c r="EE22" s="922"/>
      <c r="EF22" s="922"/>
      <c r="EG22" s="922"/>
      <c r="EH22" s="922"/>
      <c r="EI22" s="922"/>
      <c r="EJ22" s="922"/>
      <c r="EK22" s="922"/>
      <c r="EL22" s="922"/>
      <c r="EM22" s="922"/>
      <c r="EN22" s="922"/>
      <c r="EO22" s="922"/>
      <c r="EP22" s="922"/>
      <c r="EQ22" s="922"/>
      <c r="ER22" s="922"/>
      <c r="ES22" s="922"/>
      <c r="ET22" s="922"/>
      <c r="EU22" s="922"/>
      <c r="EV22" s="922"/>
      <c r="EW22" s="922"/>
    </row>
    <row r="23" spans="1:153">
      <c r="A23" s="320">
        <v>14</v>
      </c>
      <c r="B23" s="759"/>
      <c r="C23" s="759"/>
      <c r="D23" s="759"/>
      <c r="E23" s="760"/>
      <c r="F23" s="761"/>
      <c r="G23" s="761"/>
      <c r="H23" s="762"/>
      <c r="I23" s="762"/>
      <c r="J23" s="763"/>
      <c r="K23" s="763"/>
      <c r="L23" s="763"/>
      <c r="M23" s="763"/>
      <c r="N23" s="764"/>
      <c r="O23" s="761"/>
      <c r="P23" s="761"/>
      <c r="Q23" s="761"/>
      <c r="R23" s="761"/>
      <c r="S23" s="761"/>
      <c r="T23" s="761"/>
      <c r="U23" s="761"/>
      <c r="V23" s="761"/>
      <c r="W23" s="765"/>
      <c r="X23" s="766"/>
      <c r="Y23" s="766"/>
      <c r="Z23" s="766"/>
      <c r="AA23" s="766"/>
      <c r="AB23" s="766"/>
      <c r="AC23" s="766"/>
      <c r="AD23" s="920">
        <v>14</v>
      </c>
      <c r="AE23" s="922"/>
      <c r="AF23" s="922"/>
      <c r="AG23" s="922"/>
      <c r="AH23" s="922"/>
      <c r="AI23" s="922"/>
      <c r="AJ23" s="922"/>
      <c r="AK23" s="922"/>
      <c r="AL23" s="922"/>
      <c r="AM23" s="922"/>
      <c r="AN23" s="922"/>
      <c r="AO23" s="922"/>
      <c r="AP23" s="922"/>
      <c r="AQ23" s="922"/>
      <c r="AR23" s="922"/>
      <c r="AS23" s="922"/>
      <c r="AT23" s="922"/>
      <c r="AU23" s="922"/>
      <c r="AV23" s="922"/>
      <c r="AW23" s="922"/>
      <c r="AX23" s="922"/>
      <c r="AY23" s="922"/>
      <c r="AZ23" s="922"/>
      <c r="BA23" s="922"/>
      <c r="BB23" s="922"/>
      <c r="BC23" s="922"/>
      <c r="BD23" s="922"/>
      <c r="BE23" s="922"/>
      <c r="BF23" s="922"/>
      <c r="BG23" s="922"/>
      <c r="BH23" s="922"/>
      <c r="BI23" s="922"/>
      <c r="BJ23" s="922"/>
      <c r="BK23" s="922"/>
      <c r="BL23" s="922"/>
      <c r="BM23" s="922"/>
      <c r="BN23" s="922"/>
      <c r="BO23" s="922"/>
      <c r="BP23" s="922"/>
      <c r="BQ23" s="922"/>
      <c r="BR23" s="922"/>
      <c r="BS23" s="922"/>
      <c r="BT23" s="922"/>
      <c r="BU23" s="922"/>
      <c r="BV23" s="922"/>
      <c r="BW23" s="922"/>
      <c r="BX23" s="922"/>
      <c r="BY23" s="922"/>
      <c r="BZ23" s="922"/>
      <c r="CA23" s="922"/>
      <c r="CB23" s="922"/>
      <c r="CC23" s="922"/>
      <c r="CD23" s="922"/>
      <c r="CE23" s="922"/>
      <c r="CF23" s="922"/>
      <c r="CG23" s="922"/>
      <c r="CH23" s="922"/>
      <c r="CI23" s="922"/>
      <c r="CJ23" s="922"/>
      <c r="CK23" s="922"/>
      <c r="CL23" s="922"/>
      <c r="CM23" s="922"/>
      <c r="CN23" s="922"/>
      <c r="CO23" s="922"/>
      <c r="CP23" s="922"/>
      <c r="CQ23" s="922"/>
      <c r="CR23" s="922"/>
      <c r="CS23" s="922"/>
      <c r="CT23" s="922"/>
      <c r="CU23" s="922"/>
      <c r="CV23" s="922"/>
      <c r="CW23" s="922"/>
      <c r="CX23" s="922"/>
      <c r="CY23" s="922"/>
      <c r="CZ23" s="922"/>
      <c r="DA23" s="922"/>
      <c r="DB23" s="922"/>
      <c r="DC23" s="922"/>
      <c r="DD23" s="922"/>
      <c r="DE23" s="922"/>
      <c r="DF23" s="922"/>
      <c r="DG23" s="922"/>
      <c r="DH23" s="922"/>
      <c r="DI23" s="922"/>
      <c r="DJ23" s="922"/>
      <c r="DK23" s="922"/>
      <c r="DL23" s="922"/>
      <c r="DM23" s="922"/>
      <c r="DN23" s="922"/>
      <c r="DO23" s="922"/>
      <c r="DP23" s="922"/>
      <c r="DQ23" s="922"/>
      <c r="DR23" s="922"/>
      <c r="DS23" s="922"/>
      <c r="DT23" s="922"/>
      <c r="DU23" s="922"/>
      <c r="DV23" s="922"/>
      <c r="DW23" s="922"/>
      <c r="DX23" s="922"/>
      <c r="DY23" s="922"/>
      <c r="DZ23" s="922"/>
      <c r="EA23" s="922"/>
      <c r="EB23" s="922"/>
      <c r="EC23" s="922"/>
      <c r="ED23" s="922"/>
      <c r="EE23" s="922"/>
      <c r="EF23" s="922"/>
      <c r="EG23" s="922"/>
      <c r="EH23" s="922"/>
      <c r="EI23" s="922"/>
      <c r="EJ23" s="922"/>
      <c r="EK23" s="922"/>
      <c r="EL23" s="922"/>
      <c r="EM23" s="922"/>
      <c r="EN23" s="922"/>
      <c r="EO23" s="922"/>
      <c r="EP23" s="922"/>
      <c r="EQ23" s="922"/>
      <c r="ER23" s="922"/>
      <c r="ES23" s="922"/>
      <c r="ET23" s="922"/>
      <c r="EU23" s="922"/>
      <c r="EV23" s="922"/>
      <c r="EW23" s="922"/>
    </row>
    <row r="24" spans="1:153">
      <c r="A24" s="320">
        <v>15</v>
      </c>
      <c r="B24" s="759"/>
      <c r="C24" s="759"/>
      <c r="D24" s="759"/>
      <c r="E24" s="760"/>
      <c r="F24" s="761"/>
      <c r="G24" s="761"/>
      <c r="H24" s="762"/>
      <c r="I24" s="762"/>
      <c r="J24" s="763"/>
      <c r="K24" s="763"/>
      <c r="L24" s="763"/>
      <c r="M24" s="763"/>
      <c r="N24" s="764"/>
      <c r="O24" s="761"/>
      <c r="P24" s="761"/>
      <c r="Q24" s="761"/>
      <c r="R24" s="761"/>
      <c r="S24" s="761"/>
      <c r="T24" s="761"/>
      <c r="U24" s="761"/>
      <c r="V24" s="761"/>
      <c r="W24" s="765"/>
      <c r="X24" s="766"/>
      <c r="Y24" s="766"/>
      <c r="Z24" s="766"/>
      <c r="AA24" s="766"/>
      <c r="AB24" s="766"/>
      <c r="AC24" s="766"/>
      <c r="AD24" s="920">
        <v>15</v>
      </c>
      <c r="AE24" s="922"/>
      <c r="AF24" s="922"/>
      <c r="AG24" s="922"/>
      <c r="AH24" s="922"/>
      <c r="AI24" s="922"/>
      <c r="AJ24" s="922"/>
      <c r="AK24" s="922"/>
      <c r="AL24" s="922"/>
      <c r="AM24" s="922"/>
      <c r="AN24" s="922"/>
      <c r="AO24" s="922"/>
      <c r="AP24" s="922"/>
      <c r="AQ24" s="922"/>
      <c r="AR24" s="922"/>
      <c r="AS24" s="922"/>
      <c r="AT24" s="922"/>
      <c r="AU24" s="922"/>
      <c r="AV24" s="922"/>
      <c r="AW24" s="922"/>
      <c r="AX24" s="922"/>
      <c r="AY24" s="922"/>
      <c r="AZ24" s="922"/>
      <c r="BA24" s="922"/>
      <c r="BB24" s="922"/>
      <c r="BC24" s="922"/>
      <c r="BD24" s="922"/>
      <c r="BE24" s="922"/>
      <c r="BF24" s="922"/>
      <c r="BG24" s="922"/>
      <c r="BH24" s="922"/>
      <c r="BI24" s="922"/>
      <c r="BJ24" s="922"/>
      <c r="BK24" s="922"/>
      <c r="BL24" s="922"/>
      <c r="BM24" s="922"/>
      <c r="BN24" s="922"/>
      <c r="BO24" s="922"/>
      <c r="BP24" s="922"/>
      <c r="BQ24" s="922"/>
      <c r="BR24" s="922"/>
      <c r="BS24" s="922"/>
      <c r="BT24" s="922"/>
      <c r="BU24" s="922"/>
      <c r="BV24" s="922"/>
      <c r="BW24" s="922"/>
      <c r="BX24" s="922"/>
      <c r="BY24" s="922"/>
      <c r="BZ24" s="922"/>
      <c r="CA24" s="922"/>
      <c r="CB24" s="922"/>
      <c r="CC24" s="922"/>
      <c r="CD24" s="922"/>
      <c r="CE24" s="922"/>
      <c r="CF24" s="922"/>
      <c r="CG24" s="922"/>
      <c r="CH24" s="922"/>
      <c r="CI24" s="922"/>
      <c r="CJ24" s="922"/>
      <c r="CK24" s="922"/>
      <c r="CL24" s="922"/>
      <c r="CM24" s="922"/>
      <c r="CN24" s="922"/>
      <c r="CO24" s="922"/>
      <c r="CP24" s="922"/>
      <c r="CQ24" s="922"/>
      <c r="CR24" s="922"/>
      <c r="CS24" s="922"/>
      <c r="CT24" s="922"/>
      <c r="CU24" s="922"/>
      <c r="CV24" s="922"/>
      <c r="CW24" s="922"/>
      <c r="CX24" s="922"/>
      <c r="CY24" s="922"/>
      <c r="CZ24" s="922"/>
      <c r="DA24" s="922"/>
      <c r="DB24" s="922"/>
      <c r="DC24" s="922"/>
      <c r="DD24" s="922"/>
      <c r="DE24" s="922"/>
      <c r="DF24" s="922"/>
      <c r="DG24" s="922"/>
      <c r="DH24" s="922"/>
      <c r="DI24" s="922"/>
      <c r="DJ24" s="922"/>
      <c r="DK24" s="922"/>
      <c r="DL24" s="922"/>
      <c r="DM24" s="922"/>
      <c r="DN24" s="922"/>
      <c r="DO24" s="922"/>
      <c r="DP24" s="922"/>
      <c r="DQ24" s="922"/>
      <c r="DR24" s="922"/>
      <c r="DS24" s="922"/>
      <c r="DT24" s="922"/>
      <c r="DU24" s="922"/>
      <c r="DV24" s="922"/>
      <c r="DW24" s="922"/>
      <c r="DX24" s="922"/>
      <c r="DY24" s="922"/>
      <c r="DZ24" s="922"/>
      <c r="EA24" s="922"/>
      <c r="EB24" s="922"/>
      <c r="EC24" s="922"/>
      <c r="ED24" s="922"/>
      <c r="EE24" s="922"/>
      <c r="EF24" s="922"/>
      <c r="EG24" s="922"/>
      <c r="EH24" s="922"/>
      <c r="EI24" s="922"/>
      <c r="EJ24" s="922"/>
      <c r="EK24" s="922"/>
      <c r="EL24" s="922"/>
      <c r="EM24" s="922"/>
      <c r="EN24" s="922"/>
      <c r="EO24" s="922"/>
      <c r="EP24" s="922"/>
      <c r="EQ24" s="922"/>
      <c r="ER24" s="922"/>
      <c r="ES24" s="922"/>
      <c r="ET24" s="922"/>
      <c r="EU24" s="922"/>
      <c r="EV24" s="922"/>
      <c r="EW24" s="922"/>
    </row>
    <row r="25" spans="1:153">
      <c r="A25" s="320">
        <v>16</v>
      </c>
      <c r="B25" s="759"/>
      <c r="C25" s="759"/>
      <c r="D25" s="759"/>
      <c r="E25" s="760"/>
      <c r="F25" s="761"/>
      <c r="G25" s="761"/>
      <c r="H25" s="762"/>
      <c r="I25" s="762"/>
      <c r="J25" s="763"/>
      <c r="K25" s="763"/>
      <c r="L25" s="763"/>
      <c r="M25" s="763"/>
      <c r="N25" s="764"/>
      <c r="O25" s="761"/>
      <c r="P25" s="761"/>
      <c r="Q25" s="761"/>
      <c r="R25" s="761"/>
      <c r="S25" s="761"/>
      <c r="T25" s="761"/>
      <c r="U25" s="761"/>
      <c r="V25" s="761"/>
      <c r="W25" s="765"/>
      <c r="X25" s="766"/>
      <c r="Y25" s="766"/>
      <c r="Z25" s="766"/>
      <c r="AA25" s="766"/>
      <c r="AB25" s="766"/>
      <c r="AC25" s="766"/>
      <c r="AD25" s="920">
        <v>16</v>
      </c>
      <c r="AE25" s="922"/>
      <c r="AF25" s="922"/>
      <c r="AG25" s="922"/>
      <c r="AH25" s="922"/>
      <c r="AI25" s="922"/>
      <c r="AJ25" s="922"/>
      <c r="AK25" s="922"/>
      <c r="AL25" s="922"/>
      <c r="AM25" s="922"/>
      <c r="AN25" s="922"/>
      <c r="AO25" s="922"/>
      <c r="AP25" s="922"/>
      <c r="AQ25" s="922"/>
      <c r="AR25" s="922"/>
      <c r="AS25" s="922"/>
      <c r="AT25" s="922"/>
      <c r="AU25" s="922"/>
      <c r="AV25" s="922"/>
      <c r="AW25" s="922"/>
      <c r="AX25" s="922"/>
      <c r="AY25" s="922"/>
      <c r="AZ25" s="922"/>
      <c r="BA25" s="922"/>
      <c r="BB25" s="922"/>
      <c r="BC25" s="922"/>
      <c r="BD25" s="922"/>
      <c r="BE25" s="922"/>
      <c r="BF25" s="922"/>
      <c r="BG25" s="922"/>
      <c r="BH25" s="922"/>
      <c r="BI25" s="922"/>
      <c r="BJ25" s="922"/>
      <c r="BK25" s="922"/>
      <c r="BL25" s="922"/>
      <c r="BM25" s="922"/>
      <c r="BN25" s="922"/>
      <c r="BO25" s="922"/>
      <c r="BP25" s="922"/>
      <c r="BQ25" s="922"/>
      <c r="BR25" s="922"/>
      <c r="BS25" s="922"/>
      <c r="BT25" s="922"/>
      <c r="BU25" s="922"/>
      <c r="BV25" s="922"/>
      <c r="BW25" s="922"/>
      <c r="BX25" s="922"/>
      <c r="BY25" s="922"/>
      <c r="BZ25" s="922"/>
      <c r="CA25" s="922"/>
      <c r="CB25" s="922"/>
      <c r="CC25" s="922"/>
      <c r="CD25" s="922"/>
      <c r="CE25" s="922"/>
      <c r="CF25" s="922"/>
      <c r="CG25" s="922"/>
      <c r="CH25" s="922"/>
      <c r="CI25" s="922"/>
      <c r="CJ25" s="922"/>
      <c r="CK25" s="922"/>
      <c r="CL25" s="922"/>
      <c r="CM25" s="922"/>
      <c r="CN25" s="922"/>
      <c r="CO25" s="922"/>
      <c r="CP25" s="922"/>
      <c r="CQ25" s="922"/>
      <c r="CR25" s="922"/>
      <c r="CS25" s="922"/>
      <c r="CT25" s="922"/>
      <c r="CU25" s="922"/>
      <c r="CV25" s="922"/>
      <c r="CW25" s="922"/>
      <c r="CX25" s="922"/>
      <c r="CY25" s="922"/>
      <c r="CZ25" s="922"/>
      <c r="DA25" s="922"/>
      <c r="DB25" s="922"/>
      <c r="DC25" s="922"/>
      <c r="DD25" s="922"/>
      <c r="DE25" s="922"/>
      <c r="DF25" s="922"/>
      <c r="DG25" s="922"/>
      <c r="DH25" s="922"/>
      <c r="DI25" s="922"/>
      <c r="DJ25" s="922"/>
      <c r="DK25" s="922"/>
      <c r="DL25" s="922"/>
      <c r="DM25" s="922"/>
      <c r="DN25" s="922"/>
      <c r="DO25" s="922"/>
      <c r="DP25" s="922"/>
      <c r="DQ25" s="922"/>
      <c r="DR25" s="922"/>
      <c r="DS25" s="922"/>
      <c r="DT25" s="922"/>
      <c r="DU25" s="922"/>
      <c r="DV25" s="922"/>
      <c r="DW25" s="922"/>
      <c r="DX25" s="922"/>
      <c r="DY25" s="922"/>
      <c r="DZ25" s="922"/>
      <c r="EA25" s="922"/>
      <c r="EB25" s="922"/>
      <c r="EC25" s="922"/>
      <c r="ED25" s="922"/>
      <c r="EE25" s="922"/>
      <c r="EF25" s="922"/>
      <c r="EG25" s="922"/>
      <c r="EH25" s="922"/>
      <c r="EI25" s="922"/>
      <c r="EJ25" s="922"/>
      <c r="EK25" s="922"/>
      <c r="EL25" s="922"/>
      <c r="EM25" s="922"/>
      <c r="EN25" s="922"/>
      <c r="EO25" s="922"/>
      <c r="EP25" s="922"/>
      <c r="EQ25" s="922"/>
      <c r="ER25" s="922"/>
      <c r="ES25" s="922"/>
      <c r="ET25" s="922"/>
      <c r="EU25" s="922"/>
      <c r="EV25" s="922"/>
      <c r="EW25" s="922"/>
    </row>
    <row r="26" spans="1:153">
      <c r="A26" s="320">
        <v>17</v>
      </c>
      <c r="B26" s="759"/>
      <c r="C26" s="759"/>
      <c r="D26" s="759"/>
      <c r="E26" s="760"/>
      <c r="F26" s="761"/>
      <c r="G26" s="761"/>
      <c r="H26" s="762"/>
      <c r="I26" s="762"/>
      <c r="J26" s="763"/>
      <c r="K26" s="763"/>
      <c r="L26" s="763"/>
      <c r="M26" s="763"/>
      <c r="N26" s="764"/>
      <c r="O26" s="761"/>
      <c r="P26" s="761"/>
      <c r="Q26" s="761"/>
      <c r="R26" s="761"/>
      <c r="S26" s="761"/>
      <c r="T26" s="761"/>
      <c r="U26" s="761"/>
      <c r="V26" s="761"/>
      <c r="W26" s="765"/>
      <c r="X26" s="766"/>
      <c r="Y26" s="766"/>
      <c r="Z26" s="766"/>
      <c r="AA26" s="766"/>
      <c r="AB26" s="766"/>
      <c r="AC26" s="766"/>
      <c r="AD26" s="920">
        <v>17</v>
      </c>
      <c r="AE26" s="922"/>
      <c r="AF26" s="922"/>
      <c r="AG26" s="922"/>
      <c r="AH26" s="922"/>
      <c r="AI26" s="922"/>
      <c r="AJ26" s="922"/>
      <c r="AK26" s="922"/>
      <c r="AL26" s="922"/>
      <c r="AM26" s="922"/>
      <c r="AN26" s="922"/>
      <c r="AO26" s="922"/>
      <c r="AP26" s="922"/>
      <c r="AQ26" s="922"/>
      <c r="AR26" s="922"/>
      <c r="AS26" s="922"/>
      <c r="AT26" s="922"/>
      <c r="AU26" s="922"/>
      <c r="AV26" s="922"/>
      <c r="AW26" s="922"/>
      <c r="AX26" s="922"/>
      <c r="AY26" s="922"/>
      <c r="AZ26" s="922"/>
      <c r="BA26" s="922"/>
      <c r="BB26" s="922"/>
      <c r="BC26" s="922"/>
      <c r="BD26" s="922"/>
      <c r="BE26" s="922"/>
      <c r="BF26" s="922"/>
      <c r="BG26" s="922"/>
      <c r="BH26" s="922"/>
      <c r="BI26" s="922"/>
      <c r="BJ26" s="922"/>
      <c r="BK26" s="922"/>
      <c r="BL26" s="922"/>
      <c r="BM26" s="922"/>
      <c r="BN26" s="922"/>
      <c r="BO26" s="922"/>
      <c r="BP26" s="922"/>
      <c r="BQ26" s="922"/>
      <c r="BR26" s="922"/>
      <c r="BS26" s="922"/>
      <c r="BT26" s="922"/>
      <c r="BU26" s="922"/>
      <c r="BV26" s="922"/>
      <c r="BW26" s="922"/>
      <c r="BX26" s="922"/>
      <c r="BY26" s="922"/>
      <c r="BZ26" s="922"/>
      <c r="CA26" s="922"/>
      <c r="CB26" s="922"/>
      <c r="CC26" s="922"/>
      <c r="CD26" s="922"/>
      <c r="CE26" s="922"/>
      <c r="CF26" s="922"/>
      <c r="CG26" s="922"/>
      <c r="CH26" s="922"/>
      <c r="CI26" s="922"/>
      <c r="CJ26" s="922"/>
      <c r="CK26" s="922"/>
      <c r="CL26" s="922"/>
      <c r="CM26" s="922"/>
      <c r="CN26" s="922"/>
      <c r="CO26" s="922"/>
      <c r="CP26" s="922"/>
      <c r="CQ26" s="922"/>
      <c r="CR26" s="922"/>
      <c r="CS26" s="922"/>
      <c r="CT26" s="922"/>
      <c r="CU26" s="922"/>
      <c r="CV26" s="922"/>
      <c r="CW26" s="922"/>
      <c r="CX26" s="922"/>
      <c r="CY26" s="922"/>
      <c r="CZ26" s="922"/>
      <c r="DA26" s="922"/>
      <c r="DB26" s="922"/>
      <c r="DC26" s="922"/>
      <c r="DD26" s="922"/>
      <c r="DE26" s="922"/>
      <c r="DF26" s="922"/>
      <c r="DG26" s="922"/>
      <c r="DH26" s="922"/>
      <c r="DI26" s="922"/>
      <c r="DJ26" s="922"/>
      <c r="DK26" s="922"/>
      <c r="DL26" s="922"/>
      <c r="DM26" s="922"/>
      <c r="DN26" s="922"/>
      <c r="DO26" s="922"/>
      <c r="DP26" s="922"/>
      <c r="DQ26" s="922"/>
      <c r="DR26" s="922"/>
      <c r="DS26" s="922"/>
      <c r="DT26" s="922"/>
      <c r="DU26" s="922"/>
      <c r="DV26" s="922"/>
      <c r="DW26" s="922"/>
      <c r="DX26" s="922"/>
      <c r="DY26" s="922"/>
      <c r="DZ26" s="922"/>
      <c r="EA26" s="922"/>
      <c r="EB26" s="922"/>
      <c r="EC26" s="922"/>
      <c r="ED26" s="922"/>
      <c r="EE26" s="922"/>
      <c r="EF26" s="922"/>
      <c r="EG26" s="922"/>
      <c r="EH26" s="922"/>
      <c r="EI26" s="922"/>
      <c r="EJ26" s="922"/>
      <c r="EK26" s="922"/>
      <c r="EL26" s="922"/>
      <c r="EM26" s="922"/>
      <c r="EN26" s="922"/>
      <c r="EO26" s="922"/>
      <c r="EP26" s="922"/>
      <c r="EQ26" s="922"/>
      <c r="ER26" s="922"/>
      <c r="ES26" s="922"/>
      <c r="ET26" s="922"/>
      <c r="EU26" s="922"/>
      <c r="EV26" s="922"/>
      <c r="EW26" s="922"/>
    </row>
    <row r="27" spans="1:153">
      <c r="A27" s="320">
        <v>18</v>
      </c>
      <c r="B27" s="759"/>
      <c r="C27" s="759"/>
      <c r="D27" s="759"/>
      <c r="E27" s="760"/>
      <c r="F27" s="761"/>
      <c r="G27" s="761"/>
      <c r="H27" s="762"/>
      <c r="I27" s="762"/>
      <c r="J27" s="763"/>
      <c r="K27" s="763"/>
      <c r="L27" s="763"/>
      <c r="M27" s="763"/>
      <c r="N27" s="764"/>
      <c r="O27" s="761"/>
      <c r="P27" s="761"/>
      <c r="Q27" s="761"/>
      <c r="R27" s="761"/>
      <c r="S27" s="761"/>
      <c r="T27" s="761"/>
      <c r="U27" s="761"/>
      <c r="V27" s="761"/>
      <c r="W27" s="765"/>
      <c r="X27" s="766"/>
      <c r="Y27" s="766"/>
      <c r="Z27" s="766"/>
      <c r="AA27" s="766"/>
      <c r="AB27" s="766"/>
      <c r="AC27" s="766"/>
      <c r="AD27" s="920">
        <v>18</v>
      </c>
      <c r="AE27" s="922"/>
      <c r="AF27" s="922"/>
      <c r="AG27" s="922"/>
      <c r="AH27" s="922"/>
      <c r="AI27" s="922"/>
      <c r="AJ27" s="922"/>
      <c r="AK27" s="922"/>
      <c r="AL27" s="922"/>
      <c r="AM27" s="922"/>
      <c r="AN27" s="922"/>
      <c r="AO27" s="922"/>
      <c r="AP27" s="922"/>
      <c r="AQ27" s="922"/>
      <c r="AR27" s="922"/>
      <c r="AS27" s="922"/>
      <c r="AT27" s="922"/>
      <c r="AU27" s="922"/>
      <c r="AV27" s="922"/>
      <c r="AW27" s="922"/>
      <c r="AX27" s="922"/>
      <c r="AY27" s="922"/>
      <c r="AZ27" s="922"/>
      <c r="BA27" s="922"/>
      <c r="BB27" s="922"/>
      <c r="BC27" s="922"/>
      <c r="BD27" s="922"/>
      <c r="BE27" s="922"/>
      <c r="BF27" s="922"/>
      <c r="BG27" s="922"/>
      <c r="BH27" s="922"/>
      <c r="BI27" s="922"/>
      <c r="BJ27" s="922"/>
      <c r="BK27" s="922"/>
      <c r="BL27" s="922"/>
      <c r="BM27" s="922"/>
      <c r="BN27" s="922"/>
      <c r="BO27" s="922"/>
      <c r="BP27" s="922"/>
      <c r="BQ27" s="922"/>
      <c r="BR27" s="922"/>
      <c r="BS27" s="922"/>
      <c r="BT27" s="922"/>
      <c r="BU27" s="922"/>
      <c r="BV27" s="922"/>
      <c r="BW27" s="922"/>
      <c r="BX27" s="922"/>
      <c r="BY27" s="922"/>
      <c r="BZ27" s="922"/>
      <c r="CA27" s="922"/>
      <c r="CB27" s="922"/>
      <c r="CC27" s="922"/>
      <c r="CD27" s="922"/>
      <c r="CE27" s="922"/>
      <c r="CF27" s="922"/>
      <c r="CG27" s="922"/>
      <c r="CH27" s="922"/>
      <c r="CI27" s="922"/>
      <c r="CJ27" s="922"/>
      <c r="CK27" s="922"/>
      <c r="CL27" s="922"/>
      <c r="CM27" s="922"/>
      <c r="CN27" s="922"/>
      <c r="CO27" s="922"/>
      <c r="CP27" s="922"/>
      <c r="CQ27" s="922"/>
      <c r="CR27" s="922"/>
      <c r="CS27" s="922"/>
      <c r="CT27" s="922"/>
      <c r="CU27" s="922"/>
      <c r="CV27" s="922"/>
      <c r="CW27" s="922"/>
      <c r="CX27" s="922"/>
      <c r="CY27" s="922"/>
      <c r="CZ27" s="922"/>
      <c r="DA27" s="922"/>
      <c r="DB27" s="922"/>
      <c r="DC27" s="922"/>
      <c r="DD27" s="922"/>
      <c r="DE27" s="922"/>
      <c r="DF27" s="922"/>
      <c r="DG27" s="922"/>
      <c r="DH27" s="922"/>
      <c r="DI27" s="922"/>
      <c r="DJ27" s="922"/>
      <c r="DK27" s="922"/>
      <c r="DL27" s="922"/>
      <c r="DM27" s="922"/>
      <c r="DN27" s="922"/>
      <c r="DO27" s="922"/>
      <c r="DP27" s="922"/>
      <c r="DQ27" s="922"/>
      <c r="DR27" s="922"/>
      <c r="DS27" s="922"/>
      <c r="DT27" s="922"/>
      <c r="DU27" s="922"/>
      <c r="DV27" s="922"/>
      <c r="DW27" s="922"/>
      <c r="DX27" s="922"/>
      <c r="DY27" s="922"/>
      <c r="DZ27" s="922"/>
      <c r="EA27" s="922"/>
      <c r="EB27" s="922"/>
      <c r="EC27" s="922"/>
      <c r="ED27" s="922"/>
      <c r="EE27" s="922"/>
      <c r="EF27" s="922"/>
      <c r="EG27" s="922"/>
      <c r="EH27" s="922"/>
      <c r="EI27" s="922"/>
      <c r="EJ27" s="922"/>
      <c r="EK27" s="922"/>
      <c r="EL27" s="922"/>
      <c r="EM27" s="922"/>
      <c r="EN27" s="922"/>
      <c r="EO27" s="922"/>
      <c r="EP27" s="922"/>
      <c r="EQ27" s="922"/>
      <c r="ER27" s="922"/>
      <c r="ES27" s="922"/>
      <c r="ET27" s="922"/>
      <c r="EU27" s="922"/>
      <c r="EV27" s="922"/>
      <c r="EW27" s="922"/>
    </row>
    <row r="28" spans="1:153">
      <c r="A28" s="320">
        <v>19</v>
      </c>
      <c r="B28" s="759"/>
      <c r="C28" s="759"/>
      <c r="D28" s="759"/>
      <c r="E28" s="760"/>
      <c r="F28" s="761"/>
      <c r="G28" s="761"/>
      <c r="H28" s="762"/>
      <c r="I28" s="762"/>
      <c r="J28" s="763"/>
      <c r="K28" s="763"/>
      <c r="L28" s="763"/>
      <c r="M28" s="763"/>
      <c r="N28" s="764"/>
      <c r="O28" s="761"/>
      <c r="P28" s="761"/>
      <c r="Q28" s="761"/>
      <c r="R28" s="761"/>
      <c r="S28" s="761"/>
      <c r="T28" s="761"/>
      <c r="U28" s="761"/>
      <c r="V28" s="761"/>
      <c r="W28" s="765"/>
      <c r="X28" s="766"/>
      <c r="Y28" s="766"/>
      <c r="Z28" s="766"/>
      <c r="AA28" s="766"/>
      <c r="AB28" s="766"/>
      <c r="AC28" s="766"/>
      <c r="AD28" s="920">
        <v>19</v>
      </c>
      <c r="AE28" s="922"/>
      <c r="AF28" s="922"/>
      <c r="AG28" s="922"/>
      <c r="AH28" s="922"/>
      <c r="AI28" s="922"/>
      <c r="AJ28" s="922"/>
      <c r="AK28" s="922"/>
      <c r="AL28" s="922"/>
      <c r="AM28" s="922"/>
      <c r="AN28" s="922"/>
      <c r="AO28" s="922"/>
      <c r="AP28" s="922"/>
      <c r="AQ28" s="922"/>
      <c r="AR28" s="922"/>
      <c r="AS28" s="922"/>
      <c r="AT28" s="922"/>
      <c r="AU28" s="922"/>
      <c r="AV28" s="922"/>
      <c r="AW28" s="922"/>
      <c r="AX28" s="922"/>
      <c r="AY28" s="922"/>
      <c r="AZ28" s="922"/>
      <c r="BA28" s="922"/>
      <c r="BB28" s="922"/>
      <c r="BC28" s="922"/>
      <c r="BD28" s="922"/>
      <c r="BE28" s="922"/>
      <c r="BF28" s="922"/>
      <c r="BG28" s="922"/>
      <c r="BH28" s="922"/>
      <c r="BI28" s="922"/>
      <c r="BJ28" s="922"/>
      <c r="BK28" s="922"/>
      <c r="BL28" s="922"/>
      <c r="BM28" s="922"/>
      <c r="BN28" s="922"/>
      <c r="BO28" s="922"/>
      <c r="BP28" s="922"/>
      <c r="BQ28" s="922"/>
      <c r="BR28" s="922"/>
      <c r="BS28" s="922"/>
      <c r="BT28" s="922"/>
      <c r="BU28" s="922"/>
      <c r="BV28" s="922"/>
      <c r="BW28" s="922"/>
      <c r="BX28" s="922"/>
      <c r="BY28" s="922"/>
      <c r="BZ28" s="922"/>
      <c r="CA28" s="922"/>
      <c r="CB28" s="922"/>
      <c r="CC28" s="922"/>
      <c r="CD28" s="922"/>
      <c r="CE28" s="922"/>
      <c r="CF28" s="922"/>
      <c r="CG28" s="922"/>
      <c r="CH28" s="922"/>
      <c r="CI28" s="922"/>
      <c r="CJ28" s="922"/>
      <c r="CK28" s="922"/>
      <c r="CL28" s="922"/>
      <c r="CM28" s="922"/>
      <c r="CN28" s="922"/>
      <c r="CO28" s="922"/>
      <c r="CP28" s="922"/>
      <c r="CQ28" s="922"/>
      <c r="CR28" s="922"/>
      <c r="CS28" s="922"/>
      <c r="CT28" s="922"/>
      <c r="CU28" s="922"/>
      <c r="CV28" s="922"/>
      <c r="CW28" s="922"/>
      <c r="CX28" s="922"/>
      <c r="CY28" s="922"/>
      <c r="CZ28" s="922"/>
      <c r="DA28" s="922"/>
      <c r="DB28" s="922"/>
      <c r="DC28" s="922"/>
      <c r="DD28" s="922"/>
      <c r="DE28" s="922"/>
      <c r="DF28" s="922"/>
      <c r="DG28" s="922"/>
      <c r="DH28" s="922"/>
      <c r="DI28" s="922"/>
      <c r="DJ28" s="922"/>
      <c r="DK28" s="922"/>
      <c r="DL28" s="922"/>
      <c r="DM28" s="922"/>
      <c r="DN28" s="922"/>
      <c r="DO28" s="922"/>
      <c r="DP28" s="922"/>
      <c r="DQ28" s="922"/>
      <c r="DR28" s="922"/>
      <c r="DS28" s="922"/>
      <c r="DT28" s="922"/>
      <c r="DU28" s="922"/>
      <c r="DV28" s="922"/>
      <c r="DW28" s="922"/>
      <c r="DX28" s="922"/>
      <c r="DY28" s="922"/>
      <c r="DZ28" s="922"/>
      <c r="EA28" s="922"/>
      <c r="EB28" s="922"/>
      <c r="EC28" s="922"/>
      <c r="ED28" s="922"/>
      <c r="EE28" s="922"/>
      <c r="EF28" s="922"/>
      <c r="EG28" s="922"/>
      <c r="EH28" s="922"/>
      <c r="EI28" s="922"/>
      <c r="EJ28" s="922"/>
      <c r="EK28" s="922"/>
      <c r="EL28" s="922"/>
      <c r="EM28" s="922"/>
      <c r="EN28" s="922"/>
      <c r="EO28" s="922"/>
      <c r="EP28" s="922"/>
      <c r="EQ28" s="922"/>
      <c r="ER28" s="922"/>
      <c r="ES28" s="922"/>
      <c r="ET28" s="922"/>
      <c r="EU28" s="922"/>
      <c r="EV28" s="922"/>
      <c r="EW28" s="922"/>
    </row>
    <row r="29" spans="1:153">
      <c r="A29" s="320">
        <v>20</v>
      </c>
      <c r="B29" s="759"/>
      <c r="C29" s="759"/>
      <c r="D29" s="759"/>
      <c r="E29" s="760"/>
      <c r="F29" s="761"/>
      <c r="G29" s="761"/>
      <c r="H29" s="762"/>
      <c r="I29" s="762"/>
      <c r="J29" s="763"/>
      <c r="K29" s="763"/>
      <c r="L29" s="763"/>
      <c r="M29" s="763"/>
      <c r="N29" s="764"/>
      <c r="O29" s="761"/>
      <c r="P29" s="761"/>
      <c r="Q29" s="761"/>
      <c r="R29" s="761"/>
      <c r="S29" s="761"/>
      <c r="T29" s="761"/>
      <c r="U29" s="761"/>
      <c r="V29" s="761"/>
      <c r="W29" s="765"/>
      <c r="X29" s="766"/>
      <c r="Y29" s="766"/>
      <c r="Z29" s="766"/>
      <c r="AA29" s="766"/>
      <c r="AB29" s="766"/>
      <c r="AC29" s="766"/>
      <c r="AD29" s="920">
        <v>20</v>
      </c>
      <c r="AE29" s="922"/>
      <c r="AF29" s="922"/>
      <c r="AG29" s="922"/>
      <c r="AH29" s="922"/>
      <c r="AI29" s="922"/>
      <c r="AJ29" s="922"/>
      <c r="AK29" s="922"/>
      <c r="AL29" s="922"/>
      <c r="AM29" s="922"/>
      <c r="AN29" s="922"/>
      <c r="AO29" s="922"/>
      <c r="AP29" s="922"/>
      <c r="AQ29" s="922"/>
      <c r="AR29" s="922"/>
      <c r="AS29" s="922"/>
      <c r="AT29" s="922"/>
      <c r="AU29" s="922"/>
      <c r="AV29" s="922"/>
      <c r="AW29" s="922"/>
      <c r="AX29" s="922"/>
      <c r="AY29" s="922"/>
      <c r="AZ29" s="922"/>
      <c r="BA29" s="922"/>
      <c r="BB29" s="922"/>
      <c r="BC29" s="922"/>
      <c r="BD29" s="922"/>
      <c r="BE29" s="922"/>
      <c r="BF29" s="922"/>
      <c r="BG29" s="922"/>
      <c r="BH29" s="922"/>
      <c r="BI29" s="922"/>
      <c r="BJ29" s="922"/>
      <c r="BK29" s="922"/>
      <c r="BL29" s="922"/>
      <c r="BM29" s="922"/>
      <c r="BN29" s="922"/>
      <c r="BO29" s="922"/>
      <c r="BP29" s="922"/>
      <c r="BQ29" s="922"/>
      <c r="BR29" s="922"/>
      <c r="BS29" s="922"/>
      <c r="BT29" s="922"/>
      <c r="BU29" s="922"/>
      <c r="BV29" s="922"/>
      <c r="BW29" s="922"/>
      <c r="BX29" s="922"/>
      <c r="BY29" s="922"/>
      <c r="BZ29" s="922"/>
      <c r="CA29" s="922"/>
      <c r="CB29" s="922"/>
      <c r="CC29" s="922"/>
      <c r="CD29" s="922"/>
      <c r="CE29" s="922"/>
      <c r="CF29" s="922"/>
      <c r="CG29" s="922"/>
      <c r="CH29" s="922"/>
      <c r="CI29" s="922"/>
      <c r="CJ29" s="922"/>
      <c r="CK29" s="922"/>
      <c r="CL29" s="922"/>
      <c r="CM29" s="922"/>
      <c r="CN29" s="922"/>
      <c r="CO29" s="922"/>
      <c r="CP29" s="922"/>
      <c r="CQ29" s="922"/>
      <c r="CR29" s="922"/>
      <c r="CS29" s="922"/>
      <c r="CT29" s="922"/>
      <c r="CU29" s="922"/>
      <c r="CV29" s="922"/>
      <c r="CW29" s="922"/>
      <c r="CX29" s="922"/>
      <c r="CY29" s="922"/>
      <c r="CZ29" s="922"/>
      <c r="DA29" s="922"/>
      <c r="DB29" s="922"/>
      <c r="DC29" s="922"/>
      <c r="DD29" s="922"/>
      <c r="DE29" s="922"/>
      <c r="DF29" s="922"/>
      <c r="DG29" s="922"/>
      <c r="DH29" s="922"/>
      <c r="DI29" s="922"/>
      <c r="DJ29" s="922"/>
      <c r="DK29" s="922"/>
      <c r="DL29" s="922"/>
      <c r="DM29" s="922"/>
      <c r="DN29" s="922"/>
      <c r="DO29" s="922"/>
      <c r="DP29" s="922"/>
      <c r="DQ29" s="922"/>
      <c r="DR29" s="922"/>
      <c r="DS29" s="922"/>
      <c r="DT29" s="922"/>
      <c r="DU29" s="922"/>
      <c r="DV29" s="922"/>
      <c r="DW29" s="922"/>
      <c r="DX29" s="922"/>
      <c r="DY29" s="922"/>
      <c r="DZ29" s="922"/>
      <c r="EA29" s="922"/>
      <c r="EB29" s="922"/>
      <c r="EC29" s="922"/>
      <c r="ED29" s="922"/>
      <c r="EE29" s="922"/>
      <c r="EF29" s="922"/>
      <c r="EG29" s="922"/>
      <c r="EH29" s="922"/>
      <c r="EI29" s="922"/>
      <c r="EJ29" s="922"/>
      <c r="EK29" s="922"/>
      <c r="EL29" s="922"/>
      <c r="EM29" s="922"/>
      <c r="EN29" s="922"/>
      <c r="EO29" s="922"/>
      <c r="EP29" s="922"/>
      <c r="EQ29" s="922"/>
      <c r="ER29" s="922"/>
      <c r="ES29" s="922"/>
      <c r="ET29" s="922"/>
      <c r="EU29" s="922"/>
      <c r="EV29" s="922"/>
      <c r="EW29" s="922"/>
    </row>
    <row r="30" spans="1:153">
      <c r="A30" s="320">
        <v>21</v>
      </c>
      <c r="B30" s="759"/>
      <c r="C30" s="759"/>
      <c r="D30" s="759"/>
      <c r="E30" s="760"/>
      <c r="F30" s="761"/>
      <c r="G30" s="761"/>
      <c r="H30" s="762"/>
      <c r="I30" s="762"/>
      <c r="J30" s="763"/>
      <c r="K30" s="763"/>
      <c r="L30" s="763"/>
      <c r="M30" s="763"/>
      <c r="N30" s="764"/>
      <c r="O30" s="761"/>
      <c r="P30" s="761"/>
      <c r="Q30" s="761"/>
      <c r="R30" s="761"/>
      <c r="S30" s="761"/>
      <c r="T30" s="761"/>
      <c r="U30" s="761"/>
      <c r="V30" s="761"/>
      <c r="W30" s="765"/>
      <c r="X30" s="766"/>
      <c r="Y30" s="766"/>
      <c r="Z30" s="766"/>
      <c r="AA30" s="766"/>
      <c r="AB30" s="766"/>
      <c r="AC30" s="766"/>
      <c r="AD30" s="920">
        <v>21</v>
      </c>
      <c r="AE30" s="922"/>
      <c r="AF30" s="922"/>
      <c r="AG30" s="922"/>
      <c r="AH30" s="922"/>
      <c r="AI30" s="922"/>
      <c r="AJ30" s="922"/>
      <c r="AK30" s="922"/>
      <c r="AL30" s="922"/>
      <c r="AM30" s="922"/>
      <c r="AN30" s="922"/>
      <c r="AO30" s="922"/>
      <c r="AP30" s="922"/>
      <c r="AQ30" s="922"/>
      <c r="AR30" s="922"/>
      <c r="AS30" s="922"/>
      <c r="AT30" s="922"/>
      <c r="AU30" s="922"/>
      <c r="AV30" s="922"/>
      <c r="AW30" s="922"/>
      <c r="AX30" s="922"/>
      <c r="AY30" s="922"/>
      <c r="AZ30" s="922"/>
      <c r="BA30" s="922"/>
      <c r="BB30" s="922"/>
      <c r="BC30" s="922"/>
      <c r="BD30" s="922"/>
      <c r="BE30" s="922"/>
      <c r="BF30" s="922"/>
      <c r="BG30" s="922"/>
      <c r="BH30" s="922"/>
      <c r="BI30" s="922"/>
      <c r="BJ30" s="922"/>
      <c r="BK30" s="922"/>
      <c r="BL30" s="922"/>
      <c r="BM30" s="922"/>
      <c r="BN30" s="922"/>
      <c r="BO30" s="922"/>
      <c r="BP30" s="922"/>
      <c r="BQ30" s="922"/>
      <c r="BR30" s="922"/>
      <c r="BS30" s="922"/>
      <c r="BT30" s="922"/>
      <c r="BU30" s="922"/>
      <c r="BV30" s="922"/>
      <c r="BW30" s="922"/>
      <c r="BX30" s="922"/>
      <c r="BY30" s="922"/>
      <c r="BZ30" s="922"/>
      <c r="CA30" s="922"/>
      <c r="CB30" s="922"/>
      <c r="CC30" s="922"/>
      <c r="CD30" s="922"/>
      <c r="CE30" s="922"/>
      <c r="CF30" s="922"/>
      <c r="CG30" s="922"/>
      <c r="CH30" s="922"/>
      <c r="CI30" s="922"/>
      <c r="CJ30" s="922"/>
      <c r="CK30" s="922"/>
      <c r="CL30" s="922"/>
      <c r="CM30" s="922"/>
      <c r="CN30" s="922"/>
      <c r="CO30" s="922"/>
      <c r="CP30" s="922"/>
      <c r="CQ30" s="922"/>
      <c r="CR30" s="922"/>
      <c r="CS30" s="922"/>
      <c r="CT30" s="922"/>
      <c r="CU30" s="922"/>
      <c r="CV30" s="922"/>
      <c r="CW30" s="922"/>
      <c r="CX30" s="922"/>
      <c r="CY30" s="922"/>
      <c r="CZ30" s="922"/>
      <c r="DA30" s="922"/>
      <c r="DB30" s="922"/>
      <c r="DC30" s="922"/>
      <c r="DD30" s="922"/>
      <c r="DE30" s="922"/>
      <c r="DF30" s="922"/>
      <c r="DG30" s="922"/>
      <c r="DH30" s="922"/>
      <c r="DI30" s="922"/>
      <c r="DJ30" s="922"/>
      <c r="DK30" s="922"/>
      <c r="DL30" s="922"/>
      <c r="DM30" s="922"/>
      <c r="DN30" s="922"/>
      <c r="DO30" s="922"/>
      <c r="DP30" s="922"/>
      <c r="DQ30" s="922"/>
      <c r="DR30" s="922"/>
      <c r="DS30" s="922"/>
      <c r="DT30" s="922"/>
      <c r="DU30" s="922"/>
      <c r="DV30" s="922"/>
      <c r="DW30" s="922"/>
      <c r="DX30" s="922"/>
      <c r="DY30" s="922"/>
      <c r="DZ30" s="922"/>
      <c r="EA30" s="922"/>
      <c r="EB30" s="922"/>
      <c r="EC30" s="922"/>
      <c r="ED30" s="922"/>
      <c r="EE30" s="922"/>
      <c r="EF30" s="922"/>
      <c r="EG30" s="922"/>
      <c r="EH30" s="922"/>
      <c r="EI30" s="922"/>
      <c r="EJ30" s="922"/>
      <c r="EK30" s="922"/>
      <c r="EL30" s="922"/>
      <c r="EM30" s="922"/>
      <c r="EN30" s="922"/>
      <c r="EO30" s="922"/>
      <c r="EP30" s="922"/>
      <c r="EQ30" s="922"/>
      <c r="ER30" s="922"/>
      <c r="ES30" s="922"/>
      <c r="ET30" s="922"/>
      <c r="EU30" s="922"/>
      <c r="EV30" s="922"/>
      <c r="EW30" s="922"/>
    </row>
    <row r="31" spans="1:153">
      <c r="A31" s="320">
        <v>22</v>
      </c>
      <c r="B31" s="759"/>
      <c r="C31" s="759"/>
      <c r="D31" s="759"/>
      <c r="E31" s="760"/>
      <c r="F31" s="761"/>
      <c r="G31" s="761"/>
      <c r="H31" s="762"/>
      <c r="I31" s="762"/>
      <c r="J31" s="763"/>
      <c r="K31" s="763"/>
      <c r="L31" s="763"/>
      <c r="M31" s="763"/>
      <c r="N31" s="764"/>
      <c r="O31" s="761"/>
      <c r="P31" s="761"/>
      <c r="Q31" s="761"/>
      <c r="R31" s="761"/>
      <c r="S31" s="761"/>
      <c r="T31" s="761"/>
      <c r="U31" s="761"/>
      <c r="V31" s="761"/>
      <c r="W31" s="765"/>
      <c r="X31" s="766"/>
      <c r="Y31" s="766"/>
      <c r="Z31" s="766"/>
      <c r="AA31" s="766"/>
      <c r="AB31" s="766"/>
      <c r="AC31" s="766"/>
      <c r="AD31" s="920">
        <v>22</v>
      </c>
      <c r="AE31" s="922"/>
      <c r="AF31" s="922"/>
      <c r="AG31" s="922"/>
      <c r="AH31" s="922"/>
      <c r="AI31" s="922"/>
      <c r="AJ31" s="922"/>
      <c r="AK31" s="922"/>
      <c r="AL31" s="922"/>
      <c r="AM31" s="922"/>
      <c r="AN31" s="922"/>
      <c r="AO31" s="922"/>
      <c r="AP31" s="922"/>
      <c r="AQ31" s="922"/>
      <c r="AR31" s="922"/>
      <c r="AS31" s="922"/>
      <c r="AT31" s="922"/>
      <c r="AU31" s="922"/>
      <c r="AV31" s="922"/>
      <c r="AW31" s="922"/>
      <c r="AX31" s="922"/>
      <c r="AY31" s="922"/>
      <c r="AZ31" s="922"/>
      <c r="BA31" s="922"/>
      <c r="BB31" s="922"/>
      <c r="BC31" s="922"/>
      <c r="BD31" s="922"/>
      <c r="BE31" s="922"/>
      <c r="BF31" s="922"/>
      <c r="BG31" s="922"/>
      <c r="BH31" s="922"/>
      <c r="BI31" s="922"/>
      <c r="BJ31" s="922"/>
      <c r="BK31" s="922"/>
      <c r="BL31" s="922"/>
      <c r="BM31" s="922"/>
      <c r="BN31" s="922"/>
      <c r="BO31" s="922"/>
      <c r="BP31" s="922"/>
      <c r="BQ31" s="922"/>
      <c r="BR31" s="922"/>
      <c r="BS31" s="922"/>
      <c r="BT31" s="922"/>
      <c r="BU31" s="922"/>
      <c r="BV31" s="922"/>
      <c r="BW31" s="922"/>
      <c r="BX31" s="922"/>
      <c r="BY31" s="922"/>
      <c r="BZ31" s="922"/>
      <c r="CA31" s="922"/>
      <c r="CB31" s="922"/>
      <c r="CC31" s="922"/>
      <c r="CD31" s="922"/>
      <c r="CE31" s="922"/>
      <c r="CF31" s="922"/>
      <c r="CG31" s="922"/>
      <c r="CH31" s="922"/>
      <c r="CI31" s="922"/>
      <c r="CJ31" s="922"/>
      <c r="CK31" s="922"/>
      <c r="CL31" s="922"/>
      <c r="CM31" s="922"/>
      <c r="CN31" s="922"/>
      <c r="CO31" s="922"/>
      <c r="CP31" s="922"/>
      <c r="CQ31" s="922"/>
      <c r="CR31" s="922"/>
      <c r="CS31" s="922"/>
      <c r="CT31" s="922"/>
      <c r="CU31" s="922"/>
      <c r="CV31" s="922"/>
      <c r="CW31" s="922"/>
      <c r="CX31" s="922"/>
      <c r="CY31" s="922"/>
      <c r="CZ31" s="922"/>
      <c r="DA31" s="922"/>
      <c r="DB31" s="922"/>
      <c r="DC31" s="922"/>
      <c r="DD31" s="922"/>
      <c r="DE31" s="922"/>
      <c r="DF31" s="922"/>
      <c r="DG31" s="922"/>
      <c r="DH31" s="922"/>
      <c r="DI31" s="922"/>
      <c r="DJ31" s="922"/>
      <c r="DK31" s="922"/>
      <c r="DL31" s="922"/>
      <c r="DM31" s="922"/>
      <c r="DN31" s="922"/>
      <c r="DO31" s="922"/>
      <c r="DP31" s="922"/>
      <c r="DQ31" s="922"/>
      <c r="DR31" s="922"/>
      <c r="DS31" s="922"/>
      <c r="DT31" s="922"/>
      <c r="DU31" s="922"/>
      <c r="DV31" s="922"/>
      <c r="DW31" s="922"/>
      <c r="DX31" s="922"/>
      <c r="DY31" s="922"/>
      <c r="DZ31" s="922"/>
      <c r="EA31" s="922"/>
      <c r="EB31" s="922"/>
      <c r="EC31" s="922"/>
      <c r="ED31" s="922"/>
      <c r="EE31" s="922"/>
      <c r="EF31" s="922"/>
      <c r="EG31" s="922"/>
      <c r="EH31" s="922"/>
      <c r="EI31" s="922"/>
      <c r="EJ31" s="922"/>
      <c r="EK31" s="922"/>
      <c r="EL31" s="922"/>
      <c r="EM31" s="922"/>
      <c r="EN31" s="922"/>
      <c r="EO31" s="922"/>
      <c r="EP31" s="922"/>
      <c r="EQ31" s="922"/>
      <c r="ER31" s="922"/>
      <c r="ES31" s="922"/>
      <c r="ET31" s="922"/>
      <c r="EU31" s="922"/>
      <c r="EV31" s="922"/>
      <c r="EW31" s="922"/>
    </row>
    <row r="32" spans="1:153">
      <c r="A32" s="320">
        <v>23</v>
      </c>
      <c r="B32" s="759"/>
      <c r="C32" s="759"/>
      <c r="D32" s="759"/>
      <c r="E32" s="760"/>
      <c r="F32" s="761"/>
      <c r="G32" s="761"/>
      <c r="H32" s="762"/>
      <c r="I32" s="762"/>
      <c r="J32" s="763"/>
      <c r="K32" s="763"/>
      <c r="L32" s="763"/>
      <c r="M32" s="763"/>
      <c r="N32" s="764"/>
      <c r="O32" s="761"/>
      <c r="P32" s="761"/>
      <c r="Q32" s="761"/>
      <c r="R32" s="761"/>
      <c r="S32" s="761"/>
      <c r="T32" s="761"/>
      <c r="U32" s="761"/>
      <c r="V32" s="761"/>
      <c r="W32" s="765"/>
      <c r="X32" s="766"/>
      <c r="Y32" s="766"/>
      <c r="Z32" s="766"/>
      <c r="AA32" s="766"/>
      <c r="AB32" s="766"/>
      <c r="AC32" s="766"/>
      <c r="AD32" s="920">
        <v>23</v>
      </c>
      <c r="AE32" s="922"/>
      <c r="AF32" s="922"/>
      <c r="AG32" s="922"/>
      <c r="AH32" s="922"/>
      <c r="AI32" s="922"/>
      <c r="AJ32" s="922"/>
      <c r="AK32" s="922"/>
      <c r="AL32" s="922"/>
      <c r="AM32" s="922"/>
      <c r="AN32" s="922"/>
      <c r="AO32" s="922"/>
      <c r="AP32" s="922"/>
      <c r="AQ32" s="922"/>
      <c r="AR32" s="922"/>
      <c r="AS32" s="922"/>
      <c r="AT32" s="922"/>
      <c r="AU32" s="922"/>
      <c r="AV32" s="922"/>
      <c r="AW32" s="922"/>
      <c r="AX32" s="922"/>
      <c r="AY32" s="922"/>
      <c r="AZ32" s="922"/>
      <c r="BA32" s="922"/>
      <c r="BB32" s="922"/>
      <c r="BC32" s="922"/>
      <c r="BD32" s="922"/>
      <c r="BE32" s="922"/>
      <c r="BF32" s="922"/>
      <c r="BG32" s="922"/>
      <c r="BH32" s="922"/>
      <c r="BI32" s="922"/>
      <c r="BJ32" s="922"/>
      <c r="BK32" s="922"/>
      <c r="BL32" s="922"/>
      <c r="BM32" s="922"/>
      <c r="BN32" s="922"/>
      <c r="BO32" s="922"/>
      <c r="BP32" s="922"/>
      <c r="BQ32" s="922"/>
      <c r="BR32" s="922"/>
      <c r="BS32" s="922"/>
      <c r="BT32" s="922"/>
      <c r="BU32" s="922"/>
      <c r="BV32" s="922"/>
      <c r="BW32" s="922"/>
      <c r="BX32" s="922"/>
      <c r="BY32" s="922"/>
      <c r="BZ32" s="922"/>
      <c r="CA32" s="922"/>
      <c r="CB32" s="922"/>
      <c r="CC32" s="922"/>
      <c r="CD32" s="922"/>
      <c r="CE32" s="922"/>
      <c r="CF32" s="922"/>
      <c r="CG32" s="922"/>
      <c r="CH32" s="922"/>
      <c r="CI32" s="922"/>
      <c r="CJ32" s="922"/>
      <c r="CK32" s="922"/>
      <c r="CL32" s="922"/>
      <c r="CM32" s="922"/>
      <c r="CN32" s="922"/>
      <c r="CO32" s="922"/>
      <c r="CP32" s="922"/>
      <c r="CQ32" s="922"/>
      <c r="CR32" s="922"/>
      <c r="CS32" s="922"/>
      <c r="CT32" s="922"/>
      <c r="CU32" s="922"/>
      <c r="CV32" s="922"/>
      <c r="CW32" s="922"/>
      <c r="CX32" s="922"/>
      <c r="CY32" s="922"/>
      <c r="CZ32" s="922"/>
      <c r="DA32" s="922"/>
      <c r="DB32" s="922"/>
      <c r="DC32" s="922"/>
      <c r="DD32" s="922"/>
      <c r="DE32" s="922"/>
      <c r="DF32" s="922"/>
      <c r="DG32" s="922"/>
      <c r="DH32" s="922"/>
      <c r="DI32" s="922"/>
      <c r="DJ32" s="922"/>
      <c r="DK32" s="922"/>
      <c r="DL32" s="922"/>
      <c r="DM32" s="922"/>
      <c r="DN32" s="922"/>
      <c r="DO32" s="922"/>
      <c r="DP32" s="922"/>
      <c r="DQ32" s="922"/>
      <c r="DR32" s="922"/>
      <c r="DS32" s="922"/>
      <c r="DT32" s="922"/>
      <c r="DU32" s="922"/>
      <c r="DV32" s="922"/>
      <c r="DW32" s="922"/>
      <c r="DX32" s="922"/>
      <c r="DY32" s="922"/>
      <c r="DZ32" s="922"/>
      <c r="EA32" s="922"/>
      <c r="EB32" s="922"/>
      <c r="EC32" s="922"/>
      <c r="ED32" s="922"/>
      <c r="EE32" s="922"/>
      <c r="EF32" s="922"/>
      <c r="EG32" s="922"/>
      <c r="EH32" s="922"/>
      <c r="EI32" s="922"/>
      <c r="EJ32" s="922"/>
      <c r="EK32" s="922"/>
      <c r="EL32" s="922"/>
      <c r="EM32" s="922"/>
      <c r="EN32" s="922"/>
      <c r="EO32" s="922"/>
      <c r="EP32" s="922"/>
      <c r="EQ32" s="922"/>
      <c r="ER32" s="922"/>
      <c r="ES32" s="922"/>
      <c r="ET32" s="922"/>
      <c r="EU32" s="922"/>
      <c r="EV32" s="922"/>
      <c r="EW32" s="922"/>
    </row>
    <row r="33" spans="1:153">
      <c r="A33" s="320">
        <v>24</v>
      </c>
      <c r="B33" s="759"/>
      <c r="C33" s="759"/>
      <c r="D33" s="759"/>
      <c r="E33" s="760"/>
      <c r="F33" s="761"/>
      <c r="G33" s="761"/>
      <c r="H33" s="762"/>
      <c r="I33" s="762"/>
      <c r="J33" s="763"/>
      <c r="K33" s="763"/>
      <c r="L33" s="763"/>
      <c r="M33" s="763"/>
      <c r="N33" s="764"/>
      <c r="O33" s="761"/>
      <c r="P33" s="761"/>
      <c r="Q33" s="761"/>
      <c r="R33" s="761"/>
      <c r="S33" s="761"/>
      <c r="T33" s="761"/>
      <c r="U33" s="761"/>
      <c r="V33" s="761"/>
      <c r="W33" s="765"/>
      <c r="X33" s="766"/>
      <c r="Y33" s="766"/>
      <c r="Z33" s="766"/>
      <c r="AA33" s="766"/>
      <c r="AB33" s="766"/>
      <c r="AC33" s="766"/>
      <c r="AD33" s="920">
        <v>24</v>
      </c>
      <c r="AE33" s="922"/>
      <c r="AF33" s="922"/>
      <c r="AG33" s="922"/>
      <c r="AH33" s="922"/>
      <c r="AI33" s="922"/>
      <c r="AJ33" s="922"/>
      <c r="AK33" s="922"/>
      <c r="AL33" s="922"/>
      <c r="AM33" s="922"/>
      <c r="AN33" s="922"/>
      <c r="AO33" s="922"/>
      <c r="AP33" s="922"/>
      <c r="AQ33" s="922"/>
      <c r="AR33" s="922"/>
      <c r="AS33" s="922"/>
      <c r="AT33" s="922"/>
      <c r="AU33" s="922"/>
      <c r="AV33" s="922"/>
      <c r="AW33" s="922"/>
      <c r="AX33" s="922"/>
      <c r="AY33" s="922"/>
      <c r="AZ33" s="922"/>
      <c r="BA33" s="922"/>
      <c r="BB33" s="922"/>
      <c r="BC33" s="922"/>
      <c r="BD33" s="922"/>
      <c r="BE33" s="922"/>
      <c r="BF33" s="922"/>
      <c r="BG33" s="922"/>
      <c r="BH33" s="922"/>
      <c r="BI33" s="922"/>
      <c r="BJ33" s="922"/>
      <c r="BK33" s="922"/>
      <c r="BL33" s="922"/>
      <c r="BM33" s="922"/>
      <c r="BN33" s="922"/>
      <c r="BO33" s="922"/>
      <c r="BP33" s="922"/>
      <c r="BQ33" s="922"/>
      <c r="BR33" s="922"/>
      <c r="BS33" s="922"/>
      <c r="BT33" s="922"/>
      <c r="BU33" s="922"/>
      <c r="BV33" s="922"/>
      <c r="BW33" s="922"/>
      <c r="BX33" s="922"/>
      <c r="BY33" s="922"/>
      <c r="BZ33" s="922"/>
      <c r="CA33" s="922"/>
      <c r="CB33" s="922"/>
      <c r="CC33" s="922"/>
      <c r="CD33" s="922"/>
      <c r="CE33" s="922"/>
      <c r="CF33" s="922"/>
      <c r="CG33" s="922"/>
      <c r="CH33" s="922"/>
      <c r="CI33" s="922"/>
      <c r="CJ33" s="922"/>
      <c r="CK33" s="922"/>
      <c r="CL33" s="922"/>
      <c r="CM33" s="922"/>
      <c r="CN33" s="922"/>
      <c r="CO33" s="922"/>
      <c r="CP33" s="922"/>
      <c r="CQ33" s="922"/>
      <c r="CR33" s="922"/>
      <c r="CS33" s="922"/>
      <c r="CT33" s="922"/>
      <c r="CU33" s="922"/>
      <c r="CV33" s="922"/>
      <c r="CW33" s="922"/>
      <c r="CX33" s="922"/>
      <c r="CY33" s="922"/>
      <c r="CZ33" s="922"/>
      <c r="DA33" s="922"/>
      <c r="DB33" s="922"/>
      <c r="DC33" s="922"/>
      <c r="DD33" s="922"/>
      <c r="DE33" s="922"/>
      <c r="DF33" s="922"/>
      <c r="DG33" s="922"/>
      <c r="DH33" s="922"/>
      <c r="DI33" s="922"/>
      <c r="DJ33" s="922"/>
      <c r="DK33" s="922"/>
      <c r="DL33" s="922"/>
      <c r="DM33" s="922"/>
      <c r="DN33" s="922"/>
      <c r="DO33" s="922"/>
      <c r="DP33" s="922"/>
      <c r="DQ33" s="922"/>
      <c r="DR33" s="922"/>
      <c r="DS33" s="922"/>
      <c r="DT33" s="922"/>
      <c r="DU33" s="922"/>
      <c r="DV33" s="922"/>
      <c r="DW33" s="922"/>
      <c r="DX33" s="922"/>
      <c r="DY33" s="922"/>
      <c r="DZ33" s="922"/>
      <c r="EA33" s="922"/>
      <c r="EB33" s="922"/>
      <c r="EC33" s="922"/>
      <c r="ED33" s="922"/>
      <c r="EE33" s="922"/>
      <c r="EF33" s="922"/>
      <c r="EG33" s="922"/>
      <c r="EH33" s="922"/>
      <c r="EI33" s="922"/>
      <c r="EJ33" s="922"/>
      <c r="EK33" s="922"/>
      <c r="EL33" s="922"/>
      <c r="EM33" s="922"/>
      <c r="EN33" s="922"/>
      <c r="EO33" s="922"/>
      <c r="EP33" s="922"/>
      <c r="EQ33" s="922"/>
      <c r="ER33" s="922"/>
      <c r="ES33" s="922"/>
      <c r="ET33" s="922"/>
      <c r="EU33" s="922"/>
      <c r="EV33" s="922"/>
      <c r="EW33" s="922"/>
    </row>
    <row r="34" spans="1:153">
      <c r="A34" s="320">
        <v>25</v>
      </c>
      <c r="B34" s="759"/>
      <c r="C34" s="759"/>
      <c r="D34" s="759"/>
      <c r="E34" s="760"/>
      <c r="F34" s="761"/>
      <c r="G34" s="761"/>
      <c r="H34" s="762"/>
      <c r="I34" s="762"/>
      <c r="J34" s="763"/>
      <c r="K34" s="763"/>
      <c r="L34" s="763"/>
      <c r="M34" s="763"/>
      <c r="N34" s="764"/>
      <c r="O34" s="761"/>
      <c r="P34" s="761"/>
      <c r="Q34" s="761"/>
      <c r="R34" s="761"/>
      <c r="S34" s="761"/>
      <c r="T34" s="761"/>
      <c r="U34" s="761"/>
      <c r="V34" s="761"/>
      <c r="W34" s="765"/>
      <c r="X34" s="766"/>
      <c r="Y34" s="766"/>
      <c r="Z34" s="766"/>
      <c r="AA34" s="766"/>
      <c r="AB34" s="766"/>
      <c r="AC34" s="766"/>
      <c r="AD34" s="920">
        <v>25</v>
      </c>
      <c r="AE34" s="922"/>
      <c r="AF34" s="922"/>
      <c r="AG34" s="922"/>
      <c r="AH34" s="922"/>
      <c r="AI34" s="922"/>
      <c r="AJ34" s="922"/>
      <c r="AK34" s="922"/>
      <c r="AL34" s="922"/>
      <c r="AM34" s="922"/>
      <c r="AN34" s="922"/>
      <c r="AO34" s="922"/>
      <c r="AP34" s="922"/>
      <c r="AQ34" s="922"/>
      <c r="AR34" s="922"/>
      <c r="AS34" s="922"/>
      <c r="AT34" s="922"/>
      <c r="AU34" s="922"/>
      <c r="AV34" s="922"/>
      <c r="AW34" s="922"/>
      <c r="AX34" s="922"/>
      <c r="AY34" s="922"/>
      <c r="AZ34" s="922"/>
      <c r="BA34" s="922"/>
      <c r="BB34" s="922"/>
      <c r="BC34" s="922"/>
      <c r="BD34" s="922"/>
      <c r="BE34" s="922"/>
      <c r="BF34" s="922"/>
      <c r="BG34" s="922"/>
      <c r="BH34" s="922"/>
      <c r="BI34" s="922"/>
      <c r="BJ34" s="922"/>
      <c r="BK34" s="922"/>
      <c r="BL34" s="922"/>
      <c r="BM34" s="922"/>
      <c r="BN34" s="922"/>
      <c r="BO34" s="922"/>
      <c r="BP34" s="922"/>
      <c r="BQ34" s="922"/>
      <c r="BR34" s="922"/>
      <c r="BS34" s="922"/>
      <c r="BT34" s="922"/>
      <c r="BU34" s="922"/>
      <c r="BV34" s="922"/>
      <c r="BW34" s="922"/>
      <c r="BX34" s="922"/>
      <c r="BY34" s="922"/>
      <c r="BZ34" s="922"/>
      <c r="CA34" s="922"/>
      <c r="CB34" s="922"/>
      <c r="CC34" s="922"/>
      <c r="CD34" s="922"/>
      <c r="CE34" s="922"/>
      <c r="CF34" s="922"/>
      <c r="CG34" s="922"/>
      <c r="CH34" s="922"/>
      <c r="CI34" s="922"/>
      <c r="CJ34" s="922"/>
      <c r="CK34" s="922"/>
      <c r="CL34" s="922"/>
      <c r="CM34" s="922"/>
      <c r="CN34" s="922"/>
      <c r="CO34" s="922"/>
      <c r="CP34" s="922"/>
      <c r="CQ34" s="922"/>
      <c r="CR34" s="922"/>
      <c r="CS34" s="922"/>
      <c r="CT34" s="922"/>
      <c r="CU34" s="922"/>
      <c r="CV34" s="922"/>
      <c r="CW34" s="922"/>
      <c r="CX34" s="922"/>
      <c r="CY34" s="922"/>
      <c r="CZ34" s="922"/>
      <c r="DA34" s="922"/>
      <c r="DB34" s="922"/>
      <c r="DC34" s="922"/>
      <c r="DD34" s="922"/>
      <c r="DE34" s="922"/>
      <c r="DF34" s="922"/>
      <c r="DG34" s="922"/>
      <c r="DH34" s="922"/>
      <c r="DI34" s="922"/>
      <c r="DJ34" s="922"/>
      <c r="DK34" s="922"/>
      <c r="DL34" s="922"/>
      <c r="DM34" s="922"/>
      <c r="DN34" s="922"/>
      <c r="DO34" s="922"/>
      <c r="DP34" s="922"/>
      <c r="DQ34" s="922"/>
      <c r="DR34" s="922"/>
      <c r="DS34" s="922"/>
      <c r="DT34" s="922"/>
      <c r="DU34" s="922"/>
      <c r="DV34" s="922"/>
      <c r="DW34" s="922"/>
      <c r="DX34" s="922"/>
      <c r="DY34" s="922"/>
      <c r="DZ34" s="922"/>
      <c r="EA34" s="922"/>
      <c r="EB34" s="922"/>
      <c r="EC34" s="922"/>
      <c r="ED34" s="922"/>
      <c r="EE34" s="922"/>
      <c r="EF34" s="922"/>
      <c r="EG34" s="922"/>
      <c r="EH34" s="922"/>
      <c r="EI34" s="922"/>
      <c r="EJ34" s="922"/>
      <c r="EK34" s="922"/>
      <c r="EL34" s="922"/>
      <c r="EM34" s="922"/>
      <c r="EN34" s="922"/>
      <c r="EO34" s="922"/>
      <c r="EP34" s="922"/>
      <c r="EQ34" s="922"/>
      <c r="ER34" s="922"/>
      <c r="ES34" s="922"/>
      <c r="ET34" s="922"/>
      <c r="EU34" s="922"/>
      <c r="EV34" s="922"/>
      <c r="EW34" s="922"/>
    </row>
    <row r="35" spans="1:153">
      <c r="A35" s="320">
        <v>26</v>
      </c>
      <c r="B35" s="759"/>
      <c r="C35" s="759"/>
      <c r="D35" s="759"/>
      <c r="E35" s="760"/>
      <c r="F35" s="761"/>
      <c r="G35" s="761"/>
      <c r="H35" s="762"/>
      <c r="I35" s="762"/>
      <c r="J35" s="763"/>
      <c r="K35" s="763"/>
      <c r="L35" s="763"/>
      <c r="M35" s="763"/>
      <c r="N35" s="764"/>
      <c r="O35" s="761"/>
      <c r="P35" s="761"/>
      <c r="Q35" s="761"/>
      <c r="R35" s="761"/>
      <c r="S35" s="761"/>
      <c r="T35" s="761"/>
      <c r="U35" s="761"/>
      <c r="V35" s="761"/>
      <c r="W35" s="765"/>
      <c r="X35" s="766"/>
      <c r="Y35" s="766"/>
      <c r="Z35" s="766"/>
      <c r="AA35" s="766"/>
      <c r="AB35" s="766"/>
      <c r="AC35" s="766"/>
      <c r="AD35" s="920">
        <v>26</v>
      </c>
      <c r="AE35" s="922"/>
      <c r="AF35" s="922"/>
      <c r="AG35" s="922"/>
      <c r="AH35" s="922"/>
      <c r="AI35" s="922"/>
      <c r="AJ35" s="922"/>
      <c r="AK35" s="922"/>
      <c r="AL35" s="922"/>
      <c r="AM35" s="922"/>
      <c r="AN35" s="922"/>
      <c r="AO35" s="922"/>
      <c r="AP35" s="922"/>
      <c r="AQ35" s="922"/>
      <c r="AR35" s="922"/>
      <c r="AS35" s="922"/>
      <c r="AT35" s="922"/>
      <c r="AU35" s="922"/>
      <c r="AV35" s="922"/>
      <c r="AW35" s="922"/>
      <c r="AX35" s="922"/>
      <c r="AY35" s="922"/>
      <c r="AZ35" s="922"/>
      <c r="BA35" s="922"/>
      <c r="BB35" s="922"/>
      <c r="BC35" s="922"/>
      <c r="BD35" s="922"/>
      <c r="BE35" s="922"/>
      <c r="BF35" s="922"/>
      <c r="BG35" s="922"/>
      <c r="BH35" s="922"/>
      <c r="BI35" s="922"/>
      <c r="BJ35" s="922"/>
      <c r="BK35" s="922"/>
      <c r="BL35" s="922"/>
      <c r="BM35" s="922"/>
      <c r="BN35" s="922"/>
      <c r="BO35" s="922"/>
      <c r="BP35" s="922"/>
      <c r="BQ35" s="922"/>
      <c r="BR35" s="922"/>
      <c r="BS35" s="922"/>
      <c r="BT35" s="922"/>
      <c r="BU35" s="922"/>
      <c r="BV35" s="922"/>
      <c r="BW35" s="922"/>
      <c r="BX35" s="922"/>
      <c r="BY35" s="922"/>
      <c r="BZ35" s="922"/>
      <c r="CA35" s="922"/>
      <c r="CB35" s="922"/>
      <c r="CC35" s="922"/>
      <c r="CD35" s="922"/>
      <c r="CE35" s="922"/>
      <c r="CF35" s="922"/>
      <c r="CG35" s="922"/>
      <c r="CH35" s="922"/>
      <c r="CI35" s="922"/>
      <c r="CJ35" s="922"/>
      <c r="CK35" s="922"/>
      <c r="CL35" s="922"/>
      <c r="CM35" s="922"/>
      <c r="CN35" s="922"/>
      <c r="CO35" s="922"/>
      <c r="CP35" s="922"/>
      <c r="CQ35" s="922"/>
      <c r="CR35" s="922"/>
      <c r="CS35" s="922"/>
      <c r="CT35" s="922"/>
      <c r="CU35" s="922"/>
      <c r="CV35" s="922"/>
      <c r="CW35" s="922"/>
      <c r="CX35" s="922"/>
      <c r="CY35" s="922"/>
      <c r="CZ35" s="922"/>
      <c r="DA35" s="922"/>
      <c r="DB35" s="922"/>
      <c r="DC35" s="922"/>
      <c r="DD35" s="922"/>
      <c r="DE35" s="922"/>
      <c r="DF35" s="922"/>
      <c r="DG35" s="922"/>
      <c r="DH35" s="922"/>
      <c r="DI35" s="922"/>
      <c r="DJ35" s="922"/>
      <c r="DK35" s="922"/>
      <c r="DL35" s="922"/>
      <c r="DM35" s="922"/>
      <c r="DN35" s="922"/>
      <c r="DO35" s="922"/>
      <c r="DP35" s="922"/>
      <c r="DQ35" s="922"/>
      <c r="DR35" s="922"/>
      <c r="DS35" s="922"/>
      <c r="DT35" s="922"/>
      <c r="DU35" s="922"/>
      <c r="DV35" s="922"/>
      <c r="DW35" s="922"/>
      <c r="DX35" s="922"/>
      <c r="DY35" s="922"/>
      <c r="DZ35" s="922"/>
      <c r="EA35" s="922"/>
      <c r="EB35" s="922"/>
      <c r="EC35" s="922"/>
      <c r="ED35" s="922"/>
      <c r="EE35" s="922"/>
      <c r="EF35" s="922"/>
      <c r="EG35" s="922"/>
      <c r="EH35" s="922"/>
      <c r="EI35" s="922"/>
      <c r="EJ35" s="922"/>
      <c r="EK35" s="922"/>
      <c r="EL35" s="922"/>
      <c r="EM35" s="922"/>
      <c r="EN35" s="922"/>
      <c r="EO35" s="922"/>
      <c r="EP35" s="922"/>
      <c r="EQ35" s="922"/>
      <c r="ER35" s="922"/>
      <c r="ES35" s="922"/>
      <c r="ET35" s="922"/>
      <c r="EU35" s="922"/>
      <c r="EV35" s="922"/>
      <c r="EW35" s="922"/>
    </row>
    <row r="36" spans="1:153">
      <c r="A36" s="320">
        <v>27</v>
      </c>
      <c r="B36" s="759"/>
      <c r="C36" s="759"/>
      <c r="D36" s="759"/>
      <c r="E36" s="760"/>
      <c r="F36" s="761"/>
      <c r="G36" s="761"/>
      <c r="H36" s="762"/>
      <c r="I36" s="762"/>
      <c r="J36" s="763"/>
      <c r="K36" s="763"/>
      <c r="L36" s="763"/>
      <c r="M36" s="763"/>
      <c r="N36" s="764"/>
      <c r="O36" s="761"/>
      <c r="P36" s="761"/>
      <c r="Q36" s="761"/>
      <c r="R36" s="761"/>
      <c r="S36" s="761"/>
      <c r="T36" s="761"/>
      <c r="U36" s="761"/>
      <c r="V36" s="761"/>
      <c r="W36" s="765"/>
      <c r="X36" s="766"/>
      <c r="Y36" s="766"/>
      <c r="Z36" s="766"/>
      <c r="AA36" s="766"/>
      <c r="AB36" s="766"/>
      <c r="AC36" s="766"/>
      <c r="AD36" s="920">
        <v>27</v>
      </c>
      <c r="AE36" s="922"/>
      <c r="AF36" s="922"/>
      <c r="AG36" s="922"/>
      <c r="AH36" s="922"/>
      <c r="AI36" s="922"/>
      <c r="AJ36" s="922"/>
      <c r="AK36" s="922"/>
      <c r="AL36" s="922"/>
      <c r="AM36" s="922"/>
      <c r="AN36" s="922"/>
      <c r="AO36" s="922"/>
      <c r="AP36" s="922"/>
      <c r="AQ36" s="922"/>
      <c r="AR36" s="922"/>
      <c r="AS36" s="922"/>
      <c r="AT36" s="922"/>
      <c r="AU36" s="922"/>
      <c r="AV36" s="922"/>
      <c r="AW36" s="922"/>
      <c r="AX36" s="922"/>
      <c r="AY36" s="922"/>
      <c r="AZ36" s="922"/>
      <c r="BA36" s="922"/>
      <c r="BB36" s="922"/>
      <c r="BC36" s="922"/>
      <c r="BD36" s="922"/>
      <c r="BE36" s="922"/>
      <c r="BF36" s="922"/>
      <c r="BG36" s="922"/>
      <c r="BH36" s="922"/>
      <c r="BI36" s="922"/>
      <c r="BJ36" s="922"/>
      <c r="BK36" s="922"/>
      <c r="BL36" s="922"/>
      <c r="BM36" s="922"/>
      <c r="BN36" s="922"/>
      <c r="BO36" s="922"/>
      <c r="BP36" s="922"/>
      <c r="BQ36" s="922"/>
      <c r="BR36" s="922"/>
      <c r="BS36" s="922"/>
      <c r="BT36" s="922"/>
      <c r="BU36" s="922"/>
      <c r="BV36" s="922"/>
      <c r="BW36" s="922"/>
      <c r="BX36" s="922"/>
      <c r="BY36" s="922"/>
      <c r="BZ36" s="922"/>
      <c r="CA36" s="922"/>
      <c r="CB36" s="922"/>
      <c r="CC36" s="922"/>
      <c r="CD36" s="922"/>
      <c r="CE36" s="922"/>
      <c r="CF36" s="922"/>
      <c r="CG36" s="922"/>
      <c r="CH36" s="922"/>
      <c r="CI36" s="922"/>
      <c r="CJ36" s="922"/>
      <c r="CK36" s="922"/>
      <c r="CL36" s="922"/>
      <c r="CM36" s="922"/>
      <c r="CN36" s="922"/>
      <c r="CO36" s="922"/>
      <c r="CP36" s="922"/>
      <c r="CQ36" s="922"/>
      <c r="CR36" s="922"/>
      <c r="CS36" s="922"/>
      <c r="CT36" s="922"/>
      <c r="CU36" s="922"/>
      <c r="CV36" s="922"/>
      <c r="CW36" s="922"/>
      <c r="CX36" s="922"/>
      <c r="CY36" s="922"/>
      <c r="CZ36" s="922"/>
      <c r="DA36" s="922"/>
      <c r="DB36" s="922"/>
      <c r="DC36" s="922"/>
      <c r="DD36" s="922"/>
      <c r="DE36" s="922"/>
      <c r="DF36" s="922"/>
      <c r="DG36" s="922"/>
      <c r="DH36" s="922"/>
      <c r="DI36" s="922"/>
      <c r="DJ36" s="922"/>
      <c r="DK36" s="922"/>
      <c r="DL36" s="922"/>
      <c r="DM36" s="922"/>
      <c r="DN36" s="922"/>
      <c r="DO36" s="922"/>
      <c r="DP36" s="922"/>
      <c r="DQ36" s="922"/>
      <c r="DR36" s="922"/>
      <c r="DS36" s="922"/>
      <c r="DT36" s="922"/>
      <c r="DU36" s="922"/>
      <c r="DV36" s="922"/>
      <c r="DW36" s="922"/>
      <c r="DX36" s="922"/>
      <c r="DY36" s="922"/>
      <c r="DZ36" s="922"/>
      <c r="EA36" s="922"/>
      <c r="EB36" s="922"/>
      <c r="EC36" s="922"/>
      <c r="ED36" s="922"/>
      <c r="EE36" s="922"/>
      <c r="EF36" s="922"/>
      <c r="EG36" s="922"/>
      <c r="EH36" s="922"/>
      <c r="EI36" s="922"/>
      <c r="EJ36" s="922"/>
      <c r="EK36" s="922"/>
      <c r="EL36" s="922"/>
      <c r="EM36" s="922"/>
      <c r="EN36" s="922"/>
      <c r="EO36" s="922"/>
      <c r="EP36" s="922"/>
      <c r="EQ36" s="922"/>
      <c r="ER36" s="922"/>
      <c r="ES36" s="922"/>
      <c r="ET36" s="922"/>
      <c r="EU36" s="922"/>
      <c r="EV36" s="922"/>
      <c r="EW36" s="922"/>
    </row>
    <row r="37" spans="1:153">
      <c r="A37" s="320">
        <v>28</v>
      </c>
      <c r="B37" s="759"/>
      <c r="C37" s="759"/>
      <c r="D37" s="759"/>
      <c r="E37" s="760"/>
      <c r="F37" s="761"/>
      <c r="G37" s="761"/>
      <c r="H37" s="762"/>
      <c r="I37" s="762"/>
      <c r="J37" s="763"/>
      <c r="K37" s="763"/>
      <c r="L37" s="763"/>
      <c r="M37" s="763"/>
      <c r="N37" s="764"/>
      <c r="O37" s="761"/>
      <c r="P37" s="761"/>
      <c r="Q37" s="761"/>
      <c r="R37" s="761"/>
      <c r="S37" s="761"/>
      <c r="T37" s="761"/>
      <c r="U37" s="761"/>
      <c r="V37" s="761"/>
      <c r="W37" s="765"/>
      <c r="X37" s="766"/>
      <c r="Y37" s="766"/>
      <c r="Z37" s="766"/>
      <c r="AA37" s="766"/>
      <c r="AB37" s="766"/>
      <c r="AC37" s="766"/>
      <c r="AD37" s="920">
        <v>28</v>
      </c>
      <c r="AE37" s="922"/>
      <c r="AF37" s="922"/>
      <c r="AG37" s="922"/>
      <c r="AH37" s="922"/>
      <c r="AI37" s="922"/>
      <c r="AJ37" s="922"/>
      <c r="AK37" s="922"/>
      <c r="AL37" s="922"/>
      <c r="AM37" s="922"/>
      <c r="AN37" s="922"/>
      <c r="AO37" s="922"/>
      <c r="AP37" s="922"/>
      <c r="AQ37" s="922"/>
      <c r="AR37" s="922"/>
      <c r="AS37" s="922"/>
      <c r="AT37" s="922"/>
      <c r="AU37" s="922"/>
      <c r="AV37" s="922"/>
      <c r="AW37" s="922"/>
      <c r="AX37" s="922"/>
      <c r="AY37" s="922"/>
      <c r="AZ37" s="922"/>
      <c r="BA37" s="922"/>
      <c r="BB37" s="922"/>
      <c r="BC37" s="922"/>
      <c r="BD37" s="922"/>
      <c r="BE37" s="922"/>
      <c r="BF37" s="922"/>
      <c r="BG37" s="922"/>
      <c r="BH37" s="922"/>
      <c r="BI37" s="922"/>
      <c r="BJ37" s="922"/>
      <c r="BK37" s="922"/>
      <c r="BL37" s="922"/>
      <c r="BM37" s="922"/>
      <c r="BN37" s="922"/>
      <c r="BO37" s="922"/>
      <c r="BP37" s="922"/>
      <c r="BQ37" s="922"/>
      <c r="BR37" s="922"/>
      <c r="BS37" s="922"/>
      <c r="BT37" s="922"/>
      <c r="BU37" s="922"/>
      <c r="BV37" s="922"/>
      <c r="BW37" s="922"/>
      <c r="BX37" s="922"/>
      <c r="BY37" s="922"/>
      <c r="BZ37" s="922"/>
      <c r="CA37" s="922"/>
      <c r="CB37" s="922"/>
      <c r="CC37" s="922"/>
      <c r="CD37" s="922"/>
      <c r="CE37" s="922"/>
      <c r="CF37" s="922"/>
      <c r="CG37" s="922"/>
      <c r="CH37" s="922"/>
      <c r="CI37" s="922"/>
      <c r="CJ37" s="922"/>
      <c r="CK37" s="922"/>
      <c r="CL37" s="922"/>
      <c r="CM37" s="922"/>
      <c r="CN37" s="922"/>
      <c r="CO37" s="922"/>
      <c r="CP37" s="922"/>
      <c r="CQ37" s="922"/>
      <c r="CR37" s="922"/>
      <c r="CS37" s="922"/>
      <c r="CT37" s="922"/>
      <c r="CU37" s="922"/>
      <c r="CV37" s="922"/>
      <c r="CW37" s="922"/>
      <c r="CX37" s="922"/>
      <c r="CY37" s="922"/>
      <c r="CZ37" s="922"/>
      <c r="DA37" s="922"/>
      <c r="DB37" s="922"/>
      <c r="DC37" s="922"/>
      <c r="DD37" s="922"/>
      <c r="DE37" s="922"/>
      <c r="DF37" s="922"/>
      <c r="DG37" s="922"/>
      <c r="DH37" s="922"/>
      <c r="DI37" s="922"/>
      <c r="DJ37" s="922"/>
      <c r="DK37" s="922"/>
      <c r="DL37" s="922"/>
      <c r="DM37" s="922"/>
      <c r="DN37" s="922"/>
      <c r="DO37" s="922"/>
      <c r="DP37" s="922"/>
      <c r="DQ37" s="922"/>
      <c r="DR37" s="922"/>
      <c r="DS37" s="922"/>
      <c r="DT37" s="922"/>
      <c r="DU37" s="922"/>
      <c r="DV37" s="922"/>
      <c r="DW37" s="922"/>
      <c r="DX37" s="922"/>
      <c r="DY37" s="922"/>
      <c r="DZ37" s="922"/>
      <c r="EA37" s="922"/>
      <c r="EB37" s="922"/>
      <c r="EC37" s="922"/>
      <c r="ED37" s="922"/>
      <c r="EE37" s="922"/>
      <c r="EF37" s="922"/>
      <c r="EG37" s="922"/>
      <c r="EH37" s="922"/>
      <c r="EI37" s="922"/>
      <c r="EJ37" s="922"/>
      <c r="EK37" s="922"/>
      <c r="EL37" s="922"/>
      <c r="EM37" s="922"/>
      <c r="EN37" s="922"/>
      <c r="EO37" s="922"/>
      <c r="EP37" s="922"/>
      <c r="EQ37" s="922"/>
      <c r="ER37" s="922"/>
      <c r="ES37" s="922"/>
      <c r="ET37" s="922"/>
      <c r="EU37" s="922"/>
      <c r="EV37" s="922"/>
      <c r="EW37" s="922"/>
    </row>
    <row r="38" spans="1:153">
      <c r="A38" s="320">
        <v>29</v>
      </c>
      <c r="B38" s="759"/>
      <c r="C38" s="759"/>
      <c r="D38" s="759"/>
      <c r="E38" s="760"/>
      <c r="F38" s="761"/>
      <c r="G38" s="761"/>
      <c r="H38" s="762"/>
      <c r="I38" s="762"/>
      <c r="J38" s="763"/>
      <c r="K38" s="763"/>
      <c r="L38" s="763"/>
      <c r="M38" s="763"/>
      <c r="N38" s="764"/>
      <c r="O38" s="761"/>
      <c r="P38" s="761"/>
      <c r="Q38" s="761"/>
      <c r="R38" s="761"/>
      <c r="S38" s="761"/>
      <c r="T38" s="761"/>
      <c r="U38" s="761"/>
      <c r="V38" s="761"/>
      <c r="W38" s="765"/>
      <c r="X38" s="766"/>
      <c r="Y38" s="766"/>
      <c r="Z38" s="766"/>
      <c r="AA38" s="766"/>
      <c r="AB38" s="766"/>
      <c r="AC38" s="766"/>
      <c r="AD38" s="920">
        <v>29</v>
      </c>
      <c r="AE38" s="922"/>
      <c r="AF38" s="922"/>
      <c r="AG38" s="922"/>
      <c r="AH38" s="922"/>
      <c r="AI38" s="922"/>
      <c r="AJ38" s="922"/>
      <c r="AK38" s="922"/>
      <c r="AL38" s="922"/>
      <c r="AM38" s="922"/>
      <c r="AN38" s="922"/>
      <c r="AO38" s="922"/>
      <c r="AP38" s="922"/>
      <c r="AQ38" s="922"/>
      <c r="AR38" s="922"/>
      <c r="AS38" s="922"/>
      <c r="AT38" s="922"/>
      <c r="AU38" s="922"/>
      <c r="AV38" s="922"/>
      <c r="AW38" s="922"/>
      <c r="AX38" s="922"/>
      <c r="AY38" s="922"/>
      <c r="AZ38" s="922"/>
      <c r="BA38" s="922"/>
      <c r="BB38" s="922"/>
      <c r="BC38" s="922"/>
      <c r="BD38" s="922"/>
      <c r="BE38" s="922"/>
      <c r="BF38" s="922"/>
      <c r="BG38" s="922"/>
      <c r="BH38" s="922"/>
      <c r="BI38" s="922"/>
      <c r="BJ38" s="922"/>
      <c r="BK38" s="922"/>
      <c r="BL38" s="922"/>
      <c r="BM38" s="922"/>
      <c r="BN38" s="922"/>
      <c r="BO38" s="922"/>
      <c r="BP38" s="922"/>
      <c r="BQ38" s="922"/>
      <c r="BR38" s="922"/>
      <c r="BS38" s="922"/>
      <c r="BT38" s="922"/>
      <c r="BU38" s="922"/>
      <c r="BV38" s="922"/>
      <c r="BW38" s="922"/>
      <c r="BX38" s="922"/>
      <c r="BY38" s="922"/>
      <c r="BZ38" s="922"/>
      <c r="CA38" s="922"/>
      <c r="CB38" s="922"/>
      <c r="CC38" s="922"/>
      <c r="CD38" s="922"/>
      <c r="CE38" s="922"/>
      <c r="CF38" s="922"/>
      <c r="CG38" s="922"/>
      <c r="CH38" s="922"/>
      <c r="CI38" s="922"/>
      <c r="CJ38" s="922"/>
      <c r="CK38" s="922"/>
      <c r="CL38" s="922"/>
      <c r="CM38" s="922"/>
      <c r="CN38" s="922"/>
      <c r="CO38" s="922"/>
      <c r="CP38" s="922"/>
      <c r="CQ38" s="922"/>
      <c r="CR38" s="922"/>
      <c r="CS38" s="922"/>
      <c r="CT38" s="922"/>
      <c r="CU38" s="922"/>
      <c r="CV38" s="922"/>
      <c r="CW38" s="922"/>
      <c r="CX38" s="922"/>
      <c r="CY38" s="922"/>
      <c r="CZ38" s="922"/>
      <c r="DA38" s="922"/>
      <c r="DB38" s="922"/>
      <c r="DC38" s="922"/>
      <c r="DD38" s="922"/>
      <c r="DE38" s="922"/>
      <c r="DF38" s="922"/>
      <c r="DG38" s="922"/>
      <c r="DH38" s="922"/>
      <c r="DI38" s="922"/>
      <c r="DJ38" s="922"/>
      <c r="DK38" s="922"/>
      <c r="DL38" s="922"/>
      <c r="DM38" s="922"/>
      <c r="DN38" s="922"/>
      <c r="DO38" s="922"/>
      <c r="DP38" s="922"/>
      <c r="DQ38" s="922"/>
      <c r="DR38" s="922"/>
      <c r="DS38" s="922"/>
      <c r="DT38" s="922"/>
      <c r="DU38" s="922"/>
      <c r="DV38" s="922"/>
      <c r="DW38" s="922"/>
      <c r="DX38" s="922"/>
      <c r="DY38" s="922"/>
      <c r="DZ38" s="922"/>
      <c r="EA38" s="922"/>
      <c r="EB38" s="922"/>
      <c r="EC38" s="922"/>
      <c r="ED38" s="922"/>
      <c r="EE38" s="922"/>
      <c r="EF38" s="922"/>
      <c r="EG38" s="922"/>
      <c r="EH38" s="922"/>
      <c r="EI38" s="922"/>
      <c r="EJ38" s="922"/>
      <c r="EK38" s="922"/>
      <c r="EL38" s="922"/>
      <c r="EM38" s="922"/>
      <c r="EN38" s="922"/>
      <c r="EO38" s="922"/>
      <c r="EP38" s="922"/>
      <c r="EQ38" s="922"/>
      <c r="ER38" s="922"/>
      <c r="ES38" s="922"/>
      <c r="ET38" s="922"/>
      <c r="EU38" s="922"/>
      <c r="EV38" s="922"/>
      <c r="EW38" s="922"/>
    </row>
    <row r="39" spans="1:153">
      <c r="A39" s="320">
        <v>30</v>
      </c>
      <c r="B39" s="759"/>
      <c r="C39" s="759"/>
      <c r="D39" s="759"/>
      <c r="E39" s="760"/>
      <c r="F39" s="761"/>
      <c r="G39" s="761"/>
      <c r="H39" s="762"/>
      <c r="I39" s="762"/>
      <c r="J39" s="763"/>
      <c r="K39" s="763"/>
      <c r="L39" s="763"/>
      <c r="M39" s="763"/>
      <c r="N39" s="764"/>
      <c r="O39" s="761"/>
      <c r="P39" s="761"/>
      <c r="Q39" s="761"/>
      <c r="R39" s="761"/>
      <c r="S39" s="761"/>
      <c r="T39" s="761"/>
      <c r="U39" s="761"/>
      <c r="V39" s="761"/>
      <c r="W39" s="765"/>
      <c r="X39" s="766"/>
      <c r="Y39" s="766"/>
      <c r="Z39" s="766"/>
      <c r="AA39" s="766"/>
      <c r="AB39" s="766"/>
      <c r="AC39" s="766"/>
      <c r="AD39" s="920">
        <v>30</v>
      </c>
      <c r="AE39" s="922"/>
      <c r="AF39" s="922"/>
      <c r="AG39" s="922"/>
      <c r="AH39" s="922"/>
      <c r="AI39" s="922"/>
      <c r="AJ39" s="922"/>
      <c r="AK39" s="922"/>
      <c r="AL39" s="922"/>
      <c r="AM39" s="922"/>
      <c r="AN39" s="922"/>
      <c r="AO39" s="922"/>
      <c r="AP39" s="922"/>
      <c r="AQ39" s="922"/>
      <c r="AR39" s="922"/>
      <c r="AS39" s="922"/>
      <c r="AT39" s="922"/>
      <c r="AU39" s="922"/>
      <c r="AV39" s="922"/>
      <c r="AW39" s="922"/>
      <c r="AX39" s="922"/>
      <c r="AY39" s="922"/>
      <c r="AZ39" s="922"/>
      <c r="BA39" s="922"/>
      <c r="BB39" s="922"/>
      <c r="BC39" s="922"/>
      <c r="BD39" s="922"/>
      <c r="BE39" s="922"/>
      <c r="BF39" s="922"/>
      <c r="BG39" s="922"/>
      <c r="BH39" s="922"/>
      <c r="BI39" s="922"/>
      <c r="BJ39" s="922"/>
      <c r="BK39" s="922"/>
      <c r="BL39" s="922"/>
      <c r="BM39" s="922"/>
      <c r="BN39" s="922"/>
      <c r="BO39" s="922"/>
      <c r="BP39" s="922"/>
      <c r="BQ39" s="922"/>
      <c r="BR39" s="922"/>
      <c r="BS39" s="922"/>
      <c r="BT39" s="922"/>
      <c r="BU39" s="922"/>
      <c r="BV39" s="922"/>
      <c r="BW39" s="922"/>
      <c r="BX39" s="922"/>
      <c r="BY39" s="922"/>
      <c r="BZ39" s="922"/>
      <c r="CA39" s="922"/>
      <c r="CB39" s="922"/>
      <c r="CC39" s="922"/>
      <c r="CD39" s="922"/>
      <c r="CE39" s="922"/>
      <c r="CF39" s="922"/>
      <c r="CG39" s="922"/>
      <c r="CH39" s="922"/>
      <c r="CI39" s="922"/>
      <c r="CJ39" s="922"/>
      <c r="CK39" s="922"/>
      <c r="CL39" s="922"/>
      <c r="CM39" s="922"/>
      <c r="CN39" s="922"/>
      <c r="CO39" s="922"/>
      <c r="CP39" s="922"/>
      <c r="CQ39" s="922"/>
      <c r="CR39" s="922"/>
      <c r="CS39" s="922"/>
      <c r="CT39" s="922"/>
      <c r="CU39" s="922"/>
      <c r="CV39" s="922"/>
      <c r="CW39" s="922"/>
      <c r="CX39" s="922"/>
      <c r="CY39" s="922"/>
      <c r="CZ39" s="922"/>
      <c r="DA39" s="922"/>
      <c r="DB39" s="922"/>
      <c r="DC39" s="922"/>
      <c r="DD39" s="922"/>
      <c r="DE39" s="922"/>
      <c r="DF39" s="922"/>
      <c r="DG39" s="922"/>
      <c r="DH39" s="922"/>
      <c r="DI39" s="922"/>
      <c r="DJ39" s="922"/>
      <c r="DK39" s="922"/>
      <c r="DL39" s="922"/>
      <c r="DM39" s="922"/>
      <c r="DN39" s="922"/>
      <c r="DO39" s="922"/>
      <c r="DP39" s="922"/>
      <c r="DQ39" s="922"/>
      <c r="DR39" s="922"/>
      <c r="DS39" s="922"/>
      <c r="DT39" s="922"/>
      <c r="DU39" s="922"/>
      <c r="DV39" s="922"/>
      <c r="DW39" s="922"/>
      <c r="DX39" s="922"/>
      <c r="DY39" s="922"/>
      <c r="DZ39" s="922"/>
      <c r="EA39" s="922"/>
      <c r="EB39" s="922"/>
      <c r="EC39" s="922"/>
      <c r="ED39" s="922"/>
      <c r="EE39" s="922"/>
      <c r="EF39" s="922"/>
      <c r="EG39" s="922"/>
      <c r="EH39" s="922"/>
      <c r="EI39" s="922"/>
      <c r="EJ39" s="922"/>
      <c r="EK39" s="922"/>
      <c r="EL39" s="922"/>
      <c r="EM39" s="922"/>
      <c r="EN39" s="922"/>
      <c r="EO39" s="922"/>
      <c r="EP39" s="922"/>
      <c r="EQ39" s="922"/>
      <c r="ER39" s="922"/>
      <c r="ES39" s="922"/>
      <c r="ET39" s="922"/>
      <c r="EU39" s="922"/>
      <c r="EV39" s="922"/>
      <c r="EW39" s="922"/>
    </row>
    <row r="40" spans="1:153">
      <c r="A40" s="320">
        <v>31</v>
      </c>
      <c r="B40" s="759"/>
      <c r="C40" s="759"/>
      <c r="D40" s="759"/>
      <c r="E40" s="760"/>
      <c r="F40" s="761"/>
      <c r="G40" s="761"/>
      <c r="H40" s="762"/>
      <c r="I40" s="762"/>
      <c r="J40" s="763"/>
      <c r="K40" s="763"/>
      <c r="L40" s="763"/>
      <c r="M40" s="763"/>
      <c r="N40" s="764"/>
      <c r="O40" s="761"/>
      <c r="P40" s="761"/>
      <c r="Q40" s="761"/>
      <c r="R40" s="761"/>
      <c r="S40" s="761"/>
      <c r="T40" s="761"/>
      <c r="U40" s="761"/>
      <c r="V40" s="761"/>
      <c r="W40" s="765"/>
      <c r="X40" s="766"/>
      <c r="Y40" s="766"/>
      <c r="Z40" s="766"/>
      <c r="AA40" s="766"/>
      <c r="AB40" s="766"/>
      <c r="AC40" s="766"/>
      <c r="AD40" s="920">
        <v>31</v>
      </c>
      <c r="AE40" s="922"/>
      <c r="AF40" s="922"/>
      <c r="AG40" s="922"/>
      <c r="AH40" s="922"/>
      <c r="AI40" s="922"/>
      <c r="AJ40" s="922"/>
      <c r="AK40" s="922"/>
      <c r="AL40" s="922"/>
      <c r="AM40" s="922"/>
      <c r="AN40" s="922"/>
      <c r="AO40" s="922"/>
      <c r="AP40" s="922"/>
      <c r="AQ40" s="922"/>
      <c r="AR40" s="922"/>
      <c r="AS40" s="922"/>
      <c r="AT40" s="922"/>
      <c r="AU40" s="922"/>
      <c r="AV40" s="922"/>
      <c r="AW40" s="922"/>
      <c r="AX40" s="922"/>
      <c r="AY40" s="922"/>
      <c r="AZ40" s="922"/>
      <c r="BA40" s="922"/>
      <c r="BB40" s="922"/>
      <c r="BC40" s="922"/>
      <c r="BD40" s="922"/>
      <c r="BE40" s="922"/>
      <c r="BF40" s="922"/>
      <c r="BG40" s="922"/>
      <c r="BH40" s="922"/>
      <c r="BI40" s="922"/>
      <c r="BJ40" s="922"/>
      <c r="BK40" s="922"/>
      <c r="BL40" s="922"/>
      <c r="BM40" s="922"/>
      <c r="BN40" s="922"/>
      <c r="BO40" s="922"/>
      <c r="BP40" s="922"/>
      <c r="BQ40" s="922"/>
      <c r="BR40" s="922"/>
      <c r="BS40" s="922"/>
      <c r="BT40" s="922"/>
      <c r="BU40" s="922"/>
      <c r="BV40" s="922"/>
      <c r="BW40" s="922"/>
      <c r="BX40" s="922"/>
      <c r="BY40" s="922"/>
      <c r="BZ40" s="922"/>
      <c r="CA40" s="922"/>
      <c r="CB40" s="922"/>
      <c r="CC40" s="922"/>
      <c r="CD40" s="922"/>
      <c r="CE40" s="922"/>
      <c r="CF40" s="922"/>
      <c r="CG40" s="922"/>
      <c r="CH40" s="922"/>
      <c r="CI40" s="922"/>
      <c r="CJ40" s="922"/>
      <c r="CK40" s="922"/>
      <c r="CL40" s="922"/>
      <c r="CM40" s="922"/>
      <c r="CN40" s="922"/>
      <c r="CO40" s="922"/>
      <c r="CP40" s="922"/>
      <c r="CQ40" s="922"/>
      <c r="CR40" s="922"/>
      <c r="CS40" s="922"/>
      <c r="CT40" s="922"/>
      <c r="CU40" s="922"/>
      <c r="CV40" s="922"/>
      <c r="CW40" s="922"/>
      <c r="CX40" s="922"/>
      <c r="CY40" s="922"/>
      <c r="CZ40" s="922"/>
      <c r="DA40" s="922"/>
      <c r="DB40" s="922"/>
      <c r="DC40" s="922"/>
      <c r="DD40" s="922"/>
      <c r="DE40" s="922"/>
      <c r="DF40" s="922"/>
      <c r="DG40" s="922"/>
      <c r="DH40" s="922"/>
      <c r="DI40" s="922"/>
      <c r="DJ40" s="922"/>
      <c r="DK40" s="922"/>
      <c r="DL40" s="922"/>
      <c r="DM40" s="922"/>
      <c r="DN40" s="922"/>
      <c r="DO40" s="922"/>
      <c r="DP40" s="922"/>
      <c r="DQ40" s="922"/>
      <c r="DR40" s="922"/>
      <c r="DS40" s="922"/>
      <c r="DT40" s="922"/>
      <c r="DU40" s="922"/>
      <c r="DV40" s="922"/>
      <c r="DW40" s="922"/>
      <c r="DX40" s="922"/>
      <c r="DY40" s="922"/>
      <c r="DZ40" s="922"/>
      <c r="EA40" s="922"/>
      <c r="EB40" s="922"/>
      <c r="EC40" s="922"/>
      <c r="ED40" s="922"/>
      <c r="EE40" s="922"/>
      <c r="EF40" s="922"/>
      <c r="EG40" s="922"/>
      <c r="EH40" s="922"/>
      <c r="EI40" s="922"/>
      <c r="EJ40" s="922"/>
      <c r="EK40" s="922"/>
      <c r="EL40" s="922"/>
      <c r="EM40" s="922"/>
      <c r="EN40" s="922"/>
      <c r="EO40" s="922"/>
      <c r="EP40" s="922"/>
      <c r="EQ40" s="922"/>
      <c r="ER40" s="922"/>
      <c r="ES40" s="922"/>
      <c r="ET40" s="922"/>
      <c r="EU40" s="922"/>
      <c r="EV40" s="922"/>
      <c r="EW40" s="922"/>
    </row>
    <row r="41" spans="1:153">
      <c r="A41" s="320">
        <v>32</v>
      </c>
      <c r="B41" s="759"/>
      <c r="C41" s="759"/>
      <c r="D41" s="759"/>
      <c r="E41" s="760"/>
      <c r="F41" s="761"/>
      <c r="G41" s="761"/>
      <c r="H41" s="762"/>
      <c r="I41" s="762"/>
      <c r="J41" s="763"/>
      <c r="K41" s="763"/>
      <c r="L41" s="763"/>
      <c r="M41" s="763"/>
      <c r="N41" s="764"/>
      <c r="O41" s="761"/>
      <c r="P41" s="761"/>
      <c r="Q41" s="761"/>
      <c r="R41" s="761"/>
      <c r="S41" s="761"/>
      <c r="T41" s="761"/>
      <c r="U41" s="761"/>
      <c r="V41" s="761"/>
      <c r="W41" s="765"/>
      <c r="X41" s="766"/>
      <c r="Y41" s="766"/>
      <c r="Z41" s="766"/>
      <c r="AA41" s="766"/>
      <c r="AB41" s="766"/>
      <c r="AC41" s="766"/>
      <c r="AD41" s="920">
        <v>32</v>
      </c>
      <c r="AE41" s="922"/>
      <c r="AF41" s="922"/>
      <c r="AG41" s="922"/>
      <c r="AH41" s="922"/>
      <c r="AI41" s="922"/>
      <c r="AJ41" s="922"/>
      <c r="AK41" s="922"/>
      <c r="AL41" s="922"/>
      <c r="AM41" s="922"/>
      <c r="AN41" s="922"/>
      <c r="AO41" s="922"/>
      <c r="AP41" s="922"/>
      <c r="AQ41" s="922"/>
      <c r="AR41" s="922"/>
      <c r="AS41" s="922"/>
      <c r="AT41" s="922"/>
      <c r="AU41" s="922"/>
      <c r="AV41" s="922"/>
      <c r="AW41" s="922"/>
      <c r="AX41" s="922"/>
      <c r="AY41" s="922"/>
      <c r="AZ41" s="922"/>
      <c r="BA41" s="922"/>
      <c r="BB41" s="922"/>
      <c r="BC41" s="922"/>
      <c r="BD41" s="922"/>
      <c r="BE41" s="922"/>
      <c r="BF41" s="922"/>
      <c r="BG41" s="922"/>
      <c r="BH41" s="922"/>
      <c r="BI41" s="922"/>
      <c r="BJ41" s="922"/>
      <c r="BK41" s="922"/>
      <c r="BL41" s="922"/>
      <c r="BM41" s="922"/>
      <c r="BN41" s="922"/>
      <c r="BO41" s="922"/>
      <c r="BP41" s="922"/>
      <c r="BQ41" s="922"/>
      <c r="BR41" s="922"/>
      <c r="BS41" s="922"/>
      <c r="BT41" s="922"/>
      <c r="BU41" s="922"/>
      <c r="BV41" s="922"/>
      <c r="BW41" s="922"/>
      <c r="BX41" s="922"/>
      <c r="BY41" s="922"/>
      <c r="BZ41" s="922"/>
      <c r="CA41" s="922"/>
      <c r="CB41" s="922"/>
      <c r="CC41" s="922"/>
      <c r="CD41" s="922"/>
      <c r="CE41" s="922"/>
      <c r="CF41" s="922"/>
      <c r="CG41" s="922"/>
      <c r="CH41" s="922"/>
      <c r="CI41" s="922"/>
      <c r="CJ41" s="922"/>
      <c r="CK41" s="922"/>
      <c r="CL41" s="922"/>
      <c r="CM41" s="922"/>
      <c r="CN41" s="922"/>
      <c r="CO41" s="922"/>
      <c r="CP41" s="922"/>
      <c r="CQ41" s="922"/>
      <c r="CR41" s="922"/>
      <c r="CS41" s="922"/>
      <c r="CT41" s="922"/>
      <c r="CU41" s="922"/>
      <c r="CV41" s="922"/>
      <c r="CW41" s="922"/>
      <c r="CX41" s="922"/>
      <c r="CY41" s="922"/>
      <c r="CZ41" s="922"/>
      <c r="DA41" s="922"/>
      <c r="DB41" s="922"/>
      <c r="DC41" s="922"/>
      <c r="DD41" s="922"/>
      <c r="DE41" s="922"/>
      <c r="DF41" s="922"/>
      <c r="DG41" s="922"/>
      <c r="DH41" s="922"/>
      <c r="DI41" s="922"/>
      <c r="DJ41" s="922"/>
      <c r="DK41" s="922"/>
      <c r="DL41" s="922"/>
      <c r="DM41" s="922"/>
      <c r="DN41" s="922"/>
      <c r="DO41" s="922"/>
      <c r="DP41" s="922"/>
      <c r="DQ41" s="922"/>
      <c r="DR41" s="922"/>
      <c r="DS41" s="922"/>
      <c r="DT41" s="922"/>
      <c r="DU41" s="922"/>
      <c r="DV41" s="922"/>
      <c r="DW41" s="922"/>
      <c r="DX41" s="922"/>
      <c r="DY41" s="922"/>
      <c r="DZ41" s="922"/>
      <c r="EA41" s="922"/>
      <c r="EB41" s="922"/>
      <c r="EC41" s="922"/>
      <c r="ED41" s="922"/>
      <c r="EE41" s="922"/>
      <c r="EF41" s="922"/>
      <c r="EG41" s="922"/>
      <c r="EH41" s="922"/>
      <c r="EI41" s="922"/>
      <c r="EJ41" s="922"/>
      <c r="EK41" s="922"/>
      <c r="EL41" s="922"/>
      <c r="EM41" s="922"/>
      <c r="EN41" s="922"/>
      <c r="EO41" s="922"/>
      <c r="EP41" s="922"/>
      <c r="EQ41" s="922"/>
      <c r="ER41" s="922"/>
      <c r="ES41" s="922"/>
      <c r="ET41" s="922"/>
      <c r="EU41" s="922"/>
      <c r="EV41" s="922"/>
      <c r="EW41" s="922"/>
    </row>
    <row r="42" spans="1:153">
      <c r="A42" s="320">
        <v>33</v>
      </c>
      <c r="B42" s="759"/>
      <c r="C42" s="759"/>
      <c r="D42" s="759"/>
      <c r="E42" s="760"/>
      <c r="F42" s="761"/>
      <c r="G42" s="761"/>
      <c r="H42" s="762"/>
      <c r="I42" s="762"/>
      <c r="J42" s="763"/>
      <c r="K42" s="763"/>
      <c r="L42" s="763"/>
      <c r="M42" s="763"/>
      <c r="N42" s="764"/>
      <c r="O42" s="761"/>
      <c r="P42" s="761"/>
      <c r="Q42" s="761"/>
      <c r="R42" s="761"/>
      <c r="S42" s="761"/>
      <c r="T42" s="761"/>
      <c r="U42" s="761"/>
      <c r="V42" s="761"/>
      <c r="W42" s="765"/>
      <c r="X42" s="766"/>
      <c r="Y42" s="766"/>
      <c r="Z42" s="766"/>
      <c r="AA42" s="766"/>
      <c r="AB42" s="766"/>
      <c r="AC42" s="766"/>
      <c r="AD42" s="920">
        <v>33</v>
      </c>
      <c r="AE42" s="922"/>
      <c r="AF42" s="922"/>
      <c r="AG42" s="922"/>
      <c r="AH42" s="922"/>
      <c r="AI42" s="922"/>
      <c r="AJ42" s="922"/>
      <c r="AK42" s="922"/>
      <c r="AL42" s="922"/>
      <c r="AM42" s="922"/>
      <c r="AN42" s="922"/>
      <c r="AO42" s="922"/>
      <c r="AP42" s="922"/>
      <c r="AQ42" s="922"/>
      <c r="AR42" s="922"/>
      <c r="AS42" s="922"/>
      <c r="AT42" s="922"/>
      <c r="AU42" s="922"/>
      <c r="AV42" s="922"/>
      <c r="AW42" s="922"/>
      <c r="AX42" s="922"/>
      <c r="AY42" s="922"/>
      <c r="AZ42" s="922"/>
      <c r="BA42" s="922"/>
      <c r="BB42" s="922"/>
      <c r="BC42" s="922"/>
      <c r="BD42" s="922"/>
      <c r="BE42" s="922"/>
      <c r="BF42" s="922"/>
      <c r="BG42" s="922"/>
      <c r="BH42" s="922"/>
      <c r="BI42" s="922"/>
      <c r="BJ42" s="922"/>
      <c r="BK42" s="922"/>
      <c r="BL42" s="922"/>
      <c r="BM42" s="922"/>
      <c r="BN42" s="922"/>
      <c r="BO42" s="922"/>
      <c r="BP42" s="922"/>
      <c r="BQ42" s="922"/>
      <c r="BR42" s="922"/>
      <c r="BS42" s="922"/>
      <c r="BT42" s="922"/>
      <c r="BU42" s="922"/>
      <c r="BV42" s="922"/>
      <c r="BW42" s="922"/>
      <c r="BX42" s="922"/>
      <c r="BY42" s="922"/>
      <c r="BZ42" s="922"/>
      <c r="CA42" s="922"/>
      <c r="CB42" s="922"/>
      <c r="CC42" s="922"/>
      <c r="CD42" s="922"/>
      <c r="CE42" s="922"/>
      <c r="CF42" s="922"/>
      <c r="CG42" s="922"/>
      <c r="CH42" s="922"/>
      <c r="CI42" s="922"/>
      <c r="CJ42" s="922"/>
      <c r="CK42" s="922"/>
      <c r="CL42" s="922"/>
      <c r="CM42" s="922"/>
      <c r="CN42" s="922"/>
      <c r="CO42" s="922"/>
      <c r="CP42" s="922"/>
      <c r="CQ42" s="922"/>
      <c r="CR42" s="922"/>
      <c r="CS42" s="922"/>
      <c r="CT42" s="922"/>
      <c r="CU42" s="922"/>
      <c r="CV42" s="922"/>
      <c r="CW42" s="922"/>
      <c r="CX42" s="922"/>
      <c r="CY42" s="922"/>
      <c r="CZ42" s="922"/>
      <c r="DA42" s="922"/>
      <c r="DB42" s="922"/>
      <c r="DC42" s="922"/>
      <c r="DD42" s="922"/>
      <c r="DE42" s="922"/>
      <c r="DF42" s="922"/>
      <c r="DG42" s="922"/>
      <c r="DH42" s="922"/>
      <c r="DI42" s="922"/>
      <c r="DJ42" s="922"/>
      <c r="DK42" s="922"/>
      <c r="DL42" s="922"/>
      <c r="DM42" s="922"/>
      <c r="DN42" s="922"/>
      <c r="DO42" s="922"/>
      <c r="DP42" s="922"/>
      <c r="DQ42" s="922"/>
      <c r="DR42" s="922"/>
      <c r="DS42" s="922"/>
      <c r="DT42" s="922"/>
      <c r="DU42" s="922"/>
      <c r="DV42" s="922"/>
      <c r="DW42" s="922"/>
      <c r="DX42" s="922"/>
      <c r="DY42" s="922"/>
      <c r="DZ42" s="922"/>
      <c r="EA42" s="922"/>
      <c r="EB42" s="922"/>
      <c r="EC42" s="922"/>
      <c r="ED42" s="922"/>
      <c r="EE42" s="922"/>
      <c r="EF42" s="922"/>
      <c r="EG42" s="922"/>
      <c r="EH42" s="922"/>
      <c r="EI42" s="922"/>
      <c r="EJ42" s="922"/>
      <c r="EK42" s="922"/>
      <c r="EL42" s="922"/>
      <c r="EM42" s="922"/>
      <c r="EN42" s="922"/>
      <c r="EO42" s="922"/>
      <c r="EP42" s="922"/>
      <c r="EQ42" s="922"/>
      <c r="ER42" s="922"/>
      <c r="ES42" s="922"/>
      <c r="ET42" s="922"/>
      <c r="EU42" s="922"/>
      <c r="EV42" s="922"/>
      <c r="EW42" s="922"/>
    </row>
    <row r="43" spans="1:153">
      <c r="A43" s="320">
        <v>34</v>
      </c>
      <c r="B43" s="759"/>
      <c r="C43" s="759"/>
      <c r="D43" s="759"/>
      <c r="E43" s="760"/>
      <c r="F43" s="761"/>
      <c r="G43" s="761"/>
      <c r="H43" s="762"/>
      <c r="I43" s="762"/>
      <c r="J43" s="763"/>
      <c r="K43" s="763"/>
      <c r="L43" s="763"/>
      <c r="M43" s="763"/>
      <c r="N43" s="764"/>
      <c r="O43" s="761"/>
      <c r="P43" s="761"/>
      <c r="Q43" s="761"/>
      <c r="R43" s="761"/>
      <c r="S43" s="761"/>
      <c r="T43" s="761"/>
      <c r="U43" s="761"/>
      <c r="V43" s="761"/>
      <c r="W43" s="765"/>
      <c r="X43" s="766"/>
      <c r="Y43" s="766"/>
      <c r="Z43" s="766"/>
      <c r="AA43" s="766"/>
      <c r="AB43" s="766"/>
      <c r="AC43" s="766"/>
      <c r="AD43" s="920">
        <v>34</v>
      </c>
      <c r="AE43" s="922"/>
      <c r="AF43" s="922"/>
      <c r="AG43" s="922"/>
      <c r="AH43" s="922"/>
      <c r="AI43" s="922"/>
      <c r="AJ43" s="922"/>
      <c r="AK43" s="922"/>
      <c r="AL43" s="922"/>
      <c r="AM43" s="922"/>
      <c r="AN43" s="922"/>
      <c r="AO43" s="922"/>
      <c r="AP43" s="922"/>
      <c r="AQ43" s="922"/>
      <c r="AR43" s="922"/>
      <c r="AS43" s="922"/>
      <c r="AT43" s="922"/>
      <c r="AU43" s="922"/>
      <c r="AV43" s="922"/>
      <c r="AW43" s="922"/>
      <c r="AX43" s="922"/>
      <c r="AY43" s="922"/>
      <c r="AZ43" s="922"/>
      <c r="BA43" s="922"/>
      <c r="BB43" s="922"/>
      <c r="BC43" s="922"/>
      <c r="BD43" s="922"/>
      <c r="BE43" s="922"/>
      <c r="BF43" s="922"/>
      <c r="BG43" s="922"/>
      <c r="BH43" s="922"/>
      <c r="BI43" s="922"/>
      <c r="BJ43" s="922"/>
      <c r="BK43" s="922"/>
      <c r="BL43" s="922"/>
      <c r="BM43" s="922"/>
      <c r="BN43" s="922"/>
      <c r="BO43" s="922"/>
      <c r="BP43" s="922"/>
      <c r="BQ43" s="922"/>
      <c r="BR43" s="922"/>
      <c r="BS43" s="922"/>
      <c r="BT43" s="922"/>
      <c r="BU43" s="922"/>
      <c r="BV43" s="922"/>
      <c r="BW43" s="922"/>
      <c r="BX43" s="922"/>
      <c r="BY43" s="922"/>
      <c r="BZ43" s="922"/>
      <c r="CA43" s="922"/>
      <c r="CB43" s="922"/>
      <c r="CC43" s="922"/>
      <c r="CD43" s="922"/>
      <c r="CE43" s="922"/>
      <c r="CF43" s="922"/>
      <c r="CG43" s="922"/>
      <c r="CH43" s="922"/>
      <c r="CI43" s="922"/>
      <c r="CJ43" s="922"/>
      <c r="CK43" s="922"/>
      <c r="CL43" s="922"/>
      <c r="CM43" s="922"/>
      <c r="CN43" s="922"/>
      <c r="CO43" s="922"/>
      <c r="CP43" s="922"/>
      <c r="CQ43" s="922"/>
      <c r="CR43" s="922"/>
      <c r="CS43" s="922"/>
      <c r="CT43" s="922"/>
      <c r="CU43" s="922"/>
      <c r="CV43" s="922"/>
      <c r="CW43" s="922"/>
      <c r="CX43" s="922"/>
      <c r="CY43" s="922"/>
      <c r="CZ43" s="922"/>
      <c r="DA43" s="922"/>
      <c r="DB43" s="922"/>
      <c r="DC43" s="922"/>
      <c r="DD43" s="922"/>
      <c r="DE43" s="922"/>
      <c r="DF43" s="922"/>
      <c r="DG43" s="922"/>
      <c r="DH43" s="922"/>
      <c r="DI43" s="922"/>
      <c r="DJ43" s="922"/>
      <c r="DK43" s="922"/>
      <c r="DL43" s="922"/>
      <c r="DM43" s="922"/>
      <c r="DN43" s="922"/>
      <c r="DO43" s="922"/>
      <c r="DP43" s="922"/>
      <c r="DQ43" s="922"/>
      <c r="DR43" s="922"/>
      <c r="DS43" s="922"/>
      <c r="DT43" s="922"/>
      <c r="DU43" s="922"/>
      <c r="DV43" s="922"/>
      <c r="DW43" s="922"/>
      <c r="DX43" s="922"/>
      <c r="DY43" s="922"/>
      <c r="DZ43" s="922"/>
      <c r="EA43" s="922"/>
      <c r="EB43" s="922"/>
      <c r="EC43" s="922"/>
      <c r="ED43" s="922"/>
      <c r="EE43" s="922"/>
      <c r="EF43" s="922"/>
      <c r="EG43" s="922"/>
      <c r="EH43" s="922"/>
      <c r="EI43" s="922"/>
      <c r="EJ43" s="922"/>
      <c r="EK43" s="922"/>
      <c r="EL43" s="922"/>
      <c r="EM43" s="922"/>
      <c r="EN43" s="922"/>
      <c r="EO43" s="922"/>
      <c r="EP43" s="922"/>
      <c r="EQ43" s="922"/>
      <c r="ER43" s="922"/>
      <c r="ES43" s="922"/>
      <c r="ET43" s="922"/>
      <c r="EU43" s="922"/>
      <c r="EV43" s="922"/>
      <c r="EW43" s="922"/>
    </row>
    <row r="44" spans="1:153">
      <c r="A44" s="320">
        <v>35</v>
      </c>
      <c r="B44" s="759"/>
      <c r="C44" s="759"/>
      <c r="D44" s="759"/>
      <c r="E44" s="760"/>
      <c r="F44" s="761"/>
      <c r="G44" s="761"/>
      <c r="H44" s="762"/>
      <c r="I44" s="762"/>
      <c r="J44" s="763"/>
      <c r="K44" s="763"/>
      <c r="L44" s="763"/>
      <c r="M44" s="763"/>
      <c r="N44" s="764"/>
      <c r="O44" s="761"/>
      <c r="P44" s="761"/>
      <c r="Q44" s="761"/>
      <c r="R44" s="761"/>
      <c r="S44" s="761"/>
      <c r="T44" s="761"/>
      <c r="U44" s="761"/>
      <c r="V44" s="761"/>
      <c r="W44" s="765"/>
      <c r="X44" s="766"/>
      <c r="Y44" s="766"/>
      <c r="Z44" s="766"/>
      <c r="AA44" s="766"/>
      <c r="AB44" s="766"/>
      <c r="AC44" s="766"/>
      <c r="AD44" s="920">
        <v>35</v>
      </c>
      <c r="AE44" s="922"/>
      <c r="AF44" s="922"/>
      <c r="AG44" s="922"/>
      <c r="AH44" s="922"/>
      <c r="AI44" s="922"/>
      <c r="AJ44" s="922"/>
      <c r="AK44" s="922"/>
      <c r="AL44" s="922"/>
      <c r="AM44" s="922"/>
      <c r="AN44" s="922"/>
      <c r="AO44" s="922"/>
      <c r="AP44" s="922"/>
      <c r="AQ44" s="922"/>
      <c r="AR44" s="922"/>
      <c r="AS44" s="922"/>
      <c r="AT44" s="922"/>
      <c r="AU44" s="922"/>
      <c r="AV44" s="922"/>
      <c r="AW44" s="922"/>
      <c r="AX44" s="922"/>
      <c r="AY44" s="922"/>
      <c r="AZ44" s="922"/>
      <c r="BA44" s="922"/>
      <c r="BB44" s="922"/>
      <c r="BC44" s="922"/>
      <c r="BD44" s="922"/>
      <c r="BE44" s="922"/>
      <c r="BF44" s="922"/>
      <c r="BG44" s="922"/>
      <c r="BH44" s="922"/>
      <c r="BI44" s="922"/>
      <c r="BJ44" s="922"/>
      <c r="BK44" s="922"/>
      <c r="BL44" s="922"/>
      <c r="BM44" s="922"/>
      <c r="BN44" s="922"/>
      <c r="BO44" s="922"/>
      <c r="BP44" s="922"/>
      <c r="BQ44" s="922"/>
      <c r="BR44" s="922"/>
      <c r="BS44" s="922"/>
      <c r="BT44" s="922"/>
      <c r="BU44" s="922"/>
      <c r="BV44" s="922"/>
      <c r="BW44" s="922"/>
      <c r="BX44" s="922"/>
      <c r="BY44" s="922"/>
      <c r="BZ44" s="922"/>
      <c r="CA44" s="922"/>
      <c r="CB44" s="922"/>
      <c r="CC44" s="922"/>
      <c r="CD44" s="922"/>
      <c r="CE44" s="922"/>
      <c r="CF44" s="922"/>
      <c r="CG44" s="922"/>
      <c r="CH44" s="922"/>
      <c r="CI44" s="922"/>
      <c r="CJ44" s="922"/>
      <c r="CK44" s="922"/>
      <c r="CL44" s="922"/>
      <c r="CM44" s="922"/>
      <c r="CN44" s="922"/>
      <c r="CO44" s="922"/>
      <c r="CP44" s="922"/>
      <c r="CQ44" s="922"/>
      <c r="CR44" s="922"/>
      <c r="CS44" s="922"/>
      <c r="CT44" s="922"/>
      <c r="CU44" s="922"/>
      <c r="CV44" s="922"/>
      <c r="CW44" s="922"/>
      <c r="CX44" s="922"/>
      <c r="CY44" s="922"/>
      <c r="CZ44" s="922"/>
      <c r="DA44" s="922"/>
      <c r="DB44" s="922"/>
      <c r="DC44" s="922"/>
      <c r="DD44" s="922"/>
      <c r="DE44" s="922"/>
      <c r="DF44" s="922"/>
      <c r="DG44" s="922"/>
      <c r="DH44" s="922"/>
      <c r="DI44" s="922"/>
      <c r="DJ44" s="922"/>
      <c r="DK44" s="922"/>
      <c r="DL44" s="922"/>
      <c r="DM44" s="922"/>
      <c r="DN44" s="922"/>
      <c r="DO44" s="922"/>
      <c r="DP44" s="922"/>
      <c r="DQ44" s="922"/>
      <c r="DR44" s="922"/>
      <c r="DS44" s="922"/>
      <c r="DT44" s="922"/>
      <c r="DU44" s="922"/>
      <c r="DV44" s="922"/>
      <c r="DW44" s="922"/>
      <c r="DX44" s="922"/>
      <c r="DY44" s="922"/>
      <c r="DZ44" s="922"/>
      <c r="EA44" s="922"/>
      <c r="EB44" s="922"/>
      <c r="EC44" s="922"/>
      <c r="ED44" s="922"/>
      <c r="EE44" s="922"/>
      <c r="EF44" s="922"/>
      <c r="EG44" s="922"/>
      <c r="EH44" s="922"/>
      <c r="EI44" s="922"/>
      <c r="EJ44" s="922"/>
      <c r="EK44" s="922"/>
      <c r="EL44" s="922"/>
      <c r="EM44" s="922"/>
      <c r="EN44" s="922"/>
      <c r="EO44" s="922"/>
      <c r="EP44" s="922"/>
      <c r="EQ44" s="922"/>
      <c r="ER44" s="922"/>
      <c r="ES44" s="922"/>
      <c r="ET44" s="922"/>
      <c r="EU44" s="922"/>
      <c r="EV44" s="922"/>
      <c r="EW44" s="922"/>
    </row>
    <row r="45" spans="1:153">
      <c r="A45" s="320">
        <v>36</v>
      </c>
      <c r="B45" s="759"/>
      <c r="C45" s="759"/>
      <c r="D45" s="759"/>
      <c r="E45" s="760"/>
      <c r="F45" s="761"/>
      <c r="G45" s="761"/>
      <c r="H45" s="762"/>
      <c r="I45" s="762"/>
      <c r="J45" s="763"/>
      <c r="K45" s="763"/>
      <c r="L45" s="763"/>
      <c r="M45" s="763"/>
      <c r="N45" s="764"/>
      <c r="O45" s="761"/>
      <c r="P45" s="761"/>
      <c r="Q45" s="761"/>
      <c r="R45" s="761"/>
      <c r="S45" s="761"/>
      <c r="T45" s="761"/>
      <c r="U45" s="761"/>
      <c r="V45" s="761"/>
      <c r="W45" s="765"/>
      <c r="X45" s="766"/>
      <c r="Y45" s="766"/>
      <c r="Z45" s="766"/>
      <c r="AA45" s="766"/>
      <c r="AB45" s="766"/>
      <c r="AC45" s="766"/>
      <c r="AD45" s="920">
        <v>36</v>
      </c>
      <c r="AE45" s="922"/>
      <c r="AF45" s="922"/>
      <c r="AG45" s="922"/>
      <c r="AH45" s="922"/>
      <c r="AI45" s="922"/>
      <c r="AJ45" s="922"/>
      <c r="AK45" s="922"/>
      <c r="AL45" s="922"/>
      <c r="AM45" s="922"/>
      <c r="AN45" s="922"/>
      <c r="AO45" s="922"/>
      <c r="AP45" s="922"/>
      <c r="AQ45" s="922"/>
      <c r="AR45" s="922"/>
      <c r="AS45" s="922"/>
      <c r="AT45" s="922"/>
      <c r="AU45" s="922"/>
      <c r="AV45" s="922"/>
      <c r="AW45" s="922"/>
      <c r="AX45" s="922"/>
      <c r="AY45" s="922"/>
      <c r="AZ45" s="922"/>
      <c r="BA45" s="922"/>
      <c r="BB45" s="922"/>
      <c r="BC45" s="922"/>
      <c r="BD45" s="922"/>
      <c r="BE45" s="922"/>
      <c r="BF45" s="922"/>
      <c r="BG45" s="922"/>
      <c r="BH45" s="922"/>
      <c r="BI45" s="922"/>
      <c r="BJ45" s="922"/>
      <c r="BK45" s="922"/>
      <c r="BL45" s="922"/>
      <c r="BM45" s="922"/>
      <c r="BN45" s="922"/>
      <c r="BO45" s="922"/>
      <c r="BP45" s="922"/>
      <c r="BQ45" s="922"/>
      <c r="BR45" s="922"/>
      <c r="BS45" s="922"/>
      <c r="BT45" s="922"/>
      <c r="BU45" s="922"/>
      <c r="BV45" s="922"/>
      <c r="BW45" s="922"/>
      <c r="BX45" s="922"/>
      <c r="BY45" s="922"/>
      <c r="BZ45" s="922"/>
      <c r="CA45" s="922"/>
      <c r="CB45" s="922"/>
      <c r="CC45" s="922"/>
      <c r="CD45" s="922"/>
      <c r="CE45" s="922"/>
      <c r="CF45" s="922"/>
      <c r="CG45" s="922"/>
      <c r="CH45" s="922"/>
      <c r="CI45" s="922"/>
      <c r="CJ45" s="922"/>
      <c r="CK45" s="922"/>
      <c r="CL45" s="922"/>
      <c r="CM45" s="922"/>
      <c r="CN45" s="922"/>
      <c r="CO45" s="922"/>
      <c r="CP45" s="922"/>
      <c r="CQ45" s="922"/>
      <c r="CR45" s="922"/>
      <c r="CS45" s="922"/>
      <c r="CT45" s="922"/>
      <c r="CU45" s="922"/>
      <c r="CV45" s="922"/>
      <c r="CW45" s="922"/>
      <c r="CX45" s="922"/>
      <c r="CY45" s="922"/>
      <c r="CZ45" s="922"/>
      <c r="DA45" s="922"/>
      <c r="DB45" s="922"/>
      <c r="DC45" s="922"/>
      <c r="DD45" s="922"/>
      <c r="DE45" s="922"/>
      <c r="DF45" s="922"/>
      <c r="DG45" s="922"/>
      <c r="DH45" s="922"/>
      <c r="DI45" s="922"/>
      <c r="DJ45" s="922"/>
      <c r="DK45" s="922"/>
      <c r="DL45" s="922"/>
      <c r="DM45" s="922"/>
      <c r="DN45" s="922"/>
      <c r="DO45" s="922"/>
      <c r="DP45" s="922"/>
      <c r="DQ45" s="922"/>
      <c r="DR45" s="922"/>
      <c r="DS45" s="922"/>
      <c r="DT45" s="922"/>
      <c r="DU45" s="922"/>
      <c r="DV45" s="922"/>
      <c r="DW45" s="922"/>
      <c r="DX45" s="922"/>
      <c r="DY45" s="922"/>
      <c r="DZ45" s="922"/>
      <c r="EA45" s="922"/>
      <c r="EB45" s="922"/>
      <c r="EC45" s="922"/>
      <c r="ED45" s="922"/>
      <c r="EE45" s="922"/>
      <c r="EF45" s="922"/>
      <c r="EG45" s="922"/>
      <c r="EH45" s="922"/>
      <c r="EI45" s="922"/>
      <c r="EJ45" s="922"/>
      <c r="EK45" s="922"/>
      <c r="EL45" s="922"/>
      <c r="EM45" s="922"/>
      <c r="EN45" s="922"/>
      <c r="EO45" s="922"/>
      <c r="EP45" s="922"/>
      <c r="EQ45" s="922"/>
      <c r="ER45" s="922"/>
      <c r="ES45" s="922"/>
      <c r="ET45" s="922"/>
      <c r="EU45" s="922"/>
      <c r="EV45" s="922"/>
      <c r="EW45" s="922"/>
    </row>
    <row r="46" spans="1:153">
      <c r="A46" s="320">
        <v>37</v>
      </c>
      <c r="B46" s="759"/>
      <c r="C46" s="759"/>
      <c r="D46" s="759"/>
      <c r="E46" s="760"/>
      <c r="F46" s="761"/>
      <c r="G46" s="761"/>
      <c r="H46" s="762"/>
      <c r="I46" s="762"/>
      <c r="J46" s="763"/>
      <c r="K46" s="763"/>
      <c r="L46" s="763"/>
      <c r="M46" s="763"/>
      <c r="N46" s="764"/>
      <c r="O46" s="761"/>
      <c r="P46" s="761"/>
      <c r="Q46" s="761"/>
      <c r="R46" s="761"/>
      <c r="S46" s="761"/>
      <c r="T46" s="761"/>
      <c r="U46" s="761"/>
      <c r="V46" s="761"/>
      <c r="W46" s="765"/>
      <c r="X46" s="766"/>
      <c r="Y46" s="766"/>
      <c r="Z46" s="766"/>
      <c r="AA46" s="766"/>
      <c r="AB46" s="766"/>
      <c r="AC46" s="766"/>
      <c r="AD46" s="920">
        <v>37</v>
      </c>
      <c r="AE46" s="922"/>
      <c r="AF46" s="922"/>
      <c r="AG46" s="922"/>
      <c r="AH46" s="922"/>
      <c r="AI46" s="922"/>
      <c r="AJ46" s="922"/>
      <c r="AK46" s="922"/>
      <c r="AL46" s="922"/>
      <c r="AM46" s="922"/>
      <c r="AN46" s="922"/>
      <c r="AO46" s="922"/>
      <c r="AP46" s="922"/>
      <c r="AQ46" s="922"/>
      <c r="AR46" s="922"/>
      <c r="AS46" s="922"/>
      <c r="AT46" s="922"/>
      <c r="AU46" s="922"/>
      <c r="AV46" s="922"/>
      <c r="AW46" s="922"/>
      <c r="AX46" s="922"/>
      <c r="AY46" s="922"/>
      <c r="AZ46" s="922"/>
      <c r="BA46" s="922"/>
      <c r="BB46" s="922"/>
      <c r="BC46" s="922"/>
      <c r="BD46" s="922"/>
      <c r="BE46" s="922"/>
      <c r="BF46" s="922"/>
      <c r="BG46" s="922"/>
      <c r="BH46" s="922"/>
      <c r="BI46" s="922"/>
      <c r="BJ46" s="922"/>
      <c r="BK46" s="922"/>
      <c r="BL46" s="922"/>
      <c r="BM46" s="922"/>
      <c r="BN46" s="922"/>
      <c r="BO46" s="922"/>
      <c r="BP46" s="922"/>
      <c r="BQ46" s="922"/>
      <c r="BR46" s="922"/>
      <c r="BS46" s="922"/>
      <c r="BT46" s="922"/>
      <c r="BU46" s="922"/>
      <c r="BV46" s="922"/>
      <c r="BW46" s="922"/>
      <c r="BX46" s="922"/>
      <c r="BY46" s="922"/>
      <c r="BZ46" s="922"/>
      <c r="CA46" s="922"/>
      <c r="CB46" s="922"/>
      <c r="CC46" s="922"/>
      <c r="CD46" s="922"/>
      <c r="CE46" s="922"/>
      <c r="CF46" s="922"/>
      <c r="CG46" s="922"/>
      <c r="CH46" s="922"/>
      <c r="CI46" s="922"/>
      <c r="CJ46" s="922"/>
      <c r="CK46" s="922"/>
      <c r="CL46" s="922"/>
      <c r="CM46" s="922"/>
      <c r="CN46" s="922"/>
      <c r="CO46" s="922"/>
      <c r="CP46" s="922"/>
      <c r="CQ46" s="922"/>
      <c r="CR46" s="922"/>
      <c r="CS46" s="922"/>
      <c r="CT46" s="922"/>
      <c r="CU46" s="922"/>
      <c r="CV46" s="922"/>
      <c r="CW46" s="922"/>
      <c r="CX46" s="922"/>
      <c r="CY46" s="922"/>
      <c r="CZ46" s="922"/>
      <c r="DA46" s="922"/>
      <c r="DB46" s="922"/>
      <c r="DC46" s="922"/>
      <c r="DD46" s="922"/>
      <c r="DE46" s="922"/>
      <c r="DF46" s="922"/>
      <c r="DG46" s="922"/>
      <c r="DH46" s="922"/>
      <c r="DI46" s="922"/>
      <c r="DJ46" s="922"/>
      <c r="DK46" s="922"/>
      <c r="DL46" s="922"/>
      <c r="DM46" s="922"/>
      <c r="DN46" s="922"/>
      <c r="DO46" s="922"/>
      <c r="DP46" s="922"/>
      <c r="DQ46" s="922"/>
      <c r="DR46" s="922"/>
      <c r="DS46" s="922"/>
      <c r="DT46" s="922"/>
      <c r="DU46" s="922"/>
      <c r="DV46" s="922"/>
      <c r="DW46" s="922"/>
      <c r="DX46" s="922"/>
      <c r="DY46" s="922"/>
      <c r="DZ46" s="922"/>
      <c r="EA46" s="922"/>
      <c r="EB46" s="922"/>
      <c r="EC46" s="922"/>
      <c r="ED46" s="922"/>
      <c r="EE46" s="922"/>
      <c r="EF46" s="922"/>
      <c r="EG46" s="922"/>
      <c r="EH46" s="922"/>
      <c r="EI46" s="922"/>
      <c r="EJ46" s="922"/>
      <c r="EK46" s="922"/>
      <c r="EL46" s="922"/>
      <c r="EM46" s="922"/>
      <c r="EN46" s="922"/>
      <c r="EO46" s="922"/>
      <c r="EP46" s="922"/>
      <c r="EQ46" s="922"/>
      <c r="ER46" s="922"/>
      <c r="ES46" s="922"/>
      <c r="ET46" s="922"/>
      <c r="EU46" s="922"/>
      <c r="EV46" s="922"/>
      <c r="EW46" s="922"/>
    </row>
    <row r="47" spans="1:153">
      <c r="A47" s="320">
        <v>38</v>
      </c>
      <c r="B47" s="759"/>
      <c r="C47" s="759"/>
      <c r="D47" s="759"/>
      <c r="E47" s="760"/>
      <c r="F47" s="761"/>
      <c r="G47" s="761"/>
      <c r="H47" s="762"/>
      <c r="I47" s="762"/>
      <c r="J47" s="763"/>
      <c r="K47" s="763"/>
      <c r="L47" s="763"/>
      <c r="M47" s="763"/>
      <c r="N47" s="764"/>
      <c r="O47" s="761"/>
      <c r="P47" s="761"/>
      <c r="Q47" s="761"/>
      <c r="R47" s="761"/>
      <c r="S47" s="761"/>
      <c r="T47" s="761"/>
      <c r="U47" s="761"/>
      <c r="V47" s="761"/>
      <c r="W47" s="765"/>
      <c r="X47" s="766"/>
      <c r="Y47" s="766"/>
      <c r="Z47" s="766"/>
      <c r="AA47" s="766"/>
      <c r="AB47" s="766"/>
      <c r="AC47" s="766"/>
      <c r="AD47" s="920">
        <v>38</v>
      </c>
      <c r="AE47" s="922"/>
      <c r="AF47" s="922"/>
      <c r="AG47" s="922"/>
      <c r="AH47" s="922"/>
      <c r="AI47" s="922"/>
      <c r="AJ47" s="922"/>
      <c r="AK47" s="922"/>
      <c r="AL47" s="922"/>
      <c r="AM47" s="922"/>
      <c r="AN47" s="922"/>
      <c r="AO47" s="922"/>
      <c r="AP47" s="922"/>
      <c r="AQ47" s="922"/>
      <c r="AR47" s="922"/>
      <c r="AS47" s="922"/>
      <c r="AT47" s="922"/>
      <c r="AU47" s="922"/>
      <c r="AV47" s="922"/>
      <c r="AW47" s="922"/>
      <c r="AX47" s="922"/>
      <c r="AY47" s="922"/>
      <c r="AZ47" s="922"/>
      <c r="BA47" s="922"/>
      <c r="BB47" s="922"/>
      <c r="BC47" s="922"/>
      <c r="BD47" s="922"/>
      <c r="BE47" s="922"/>
      <c r="BF47" s="922"/>
      <c r="BG47" s="922"/>
      <c r="BH47" s="922"/>
      <c r="BI47" s="922"/>
      <c r="BJ47" s="922"/>
      <c r="BK47" s="922"/>
      <c r="BL47" s="922"/>
      <c r="BM47" s="922"/>
      <c r="BN47" s="922"/>
      <c r="BO47" s="922"/>
      <c r="BP47" s="922"/>
      <c r="BQ47" s="922"/>
      <c r="BR47" s="922"/>
      <c r="BS47" s="922"/>
      <c r="BT47" s="922"/>
      <c r="BU47" s="922"/>
      <c r="BV47" s="922"/>
      <c r="BW47" s="922"/>
      <c r="BX47" s="922"/>
      <c r="BY47" s="922"/>
      <c r="BZ47" s="922"/>
      <c r="CA47" s="922"/>
      <c r="CB47" s="922"/>
      <c r="CC47" s="922"/>
      <c r="CD47" s="922"/>
      <c r="CE47" s="922"/>
      <c r="CF47" s="922"/>
      <c r="CG47" s="922"/>
      <c r="CH47" s="922"/>
      <c r="CI47" s="922"/>
      <c r="CJ47" s="922"/>
      <c r="CK47" s="922"/>
      <c r="CL47" s="922"/>
      <c r="CM47" s="922"/>
      <c r="CN47" s="922"/>
      <c r="CO47" s="922"/>
      <c r="CP47" s="922"/>
      <c r="CQ47" s="922"/>
      <c r="CR47" s="922"/>
      <c r="CS47" s="922"/>
      <c r="CT47" s="922"/>
      <c r="CU47" s="922"/>
      <c r="CV47" s="922"/>
      <c r="CW47" s="922"/>
      <c r="CX47" s="922"/>
      <c r="CY47" s="922"/>
      <c r="CZ47" s="922"/>
      <c r="DA47" s="922"/>
      <c r="DB47" s="922"/>
      <c r="DC47" s="922"/>
      <c r="DD47" s="922"/>
      <c r="DE47" s="922"/>
      <c r="DF47" s="922"/>
      <c r="DG47" s="922"/>
      <c r="DH47" s="922"/>
      <c r="DI47" s="922"/>
      <c r="DJ47" s="922"/>
      <c r="DK47" s="922"/>
      <c r="DL47" s="922"/>
      <c r="DM47" s="922"/>
      <c r="DN47" s="922"/>
      <c r="DO47" s="922"/>
      <c r="DP47" s="922"/>
      <c r="DQ47" s="922"/>
      <c r="DR47" s="922"/>
      <c r="DS47" s="922"/>
      <c r="DT47" s="922"/>
      <c r="DU47" s="922"/>
      <c r="DV47" s="922"/>
      <c r="DW47" s="922"/>
      <c r="DX47" s="922"/>
      <c r="DY47" s="922"/>
      <c r="DZ47" s="922"/>
      <c r="EA47" s="922"/>
      <c r="EB47" s="922"/>
      <c r="EC47" s="922"/>
      <c r="ED47" s="922"/>
      <c r="EE47" s="922"/>
      <c r="EF47" s="922"/>
      <c r="EG47" s="922"/>
      <c r="EH47" s="922"/>
      <c r="EI47" s="922"/>
      <c r="EJ47" s="922"/>
      <c r="EK47" s="922"/>
      <c r="EL47" s="922"/>
      <c r="EM47" s="922"/>
      <c r="EN47" s="922"/>
      <c r="EO47" s="922"/>
      <c r="EP47" s="922"/>
      <c r="EQ47" s="922"/>
      <c r="ER47" s="922"/>
      <c r="ES47" s="922"/>
      <c r="ET47" s="922"/>
      <c r="EU47" s="922"/>
      <c r="EV47" s="922"/>
      <c r="EW47" s="922"/>
    </row>
    <row r="48" spans="1:153">
      <c r="A48" s="320">
        <v>39</v>
      </c>
      <c r="B48" s="759"/>
      <c r="C48" s="759"/>
      <c r="D48" s="759"/>
      <c r="E48" s="760"/>
      <c r="F48" s="761"/>
      <c r="G48" s="761"/>
      <c r="H48" s="762"/>
      <c r="I48" s="762"/>
      <c r="J48" s="763"/>
      <c r="K48" s="763"/>
      <c r="L48" s="763"/>
      <c r="M48" s="763"/>
      <c r="N48" s="764"/>
      <c r="O48" s="761"/>
      <c r="P48" s="761"/>
      <c r="Q48" s="761"/>
      <c r="R48" s="761"/>
      <c r="S48" s="761"/>
      <c r="T48" s="761"/>
      <c r="U48" s="761"/>
      <c r="V48" s="761"/>
      <c r="W48" s="765"/>
      <c r="X48" s="766"/>
      <c r="Y48" s="766"/>
      <c r="Z48" s="766"/>
      <c r="AA48" s="766"/>
      <c r="AB48" s="766"/>
      <c r="AC48" s="766"/>
      <c r="AD48" s="920">
        <v>39</v>
      </c>
      <c r="AE48" s="922"/>
      <c r="AF48" s="922"/>
      <c r="AG48" s="922"/>
      <c r="AH48" s="922"/>
      <c r="AI48" s="922"/>
      <c r="AJ48" s="922"/>
      <c r="AK48" s="922"/>
      <c r="AL48" s="922"/>
      <c r="AM48" s="922"/>
      <c r="AN48" s="922"/>
      <c r="AO48" s="922"/>
      <c r="AP48" s="922"/>
      <c r="AQ48" s="922"/>
      <c r="AR48" s="922"/>
      <c r="AS48" s="922"/>
      <c r="AT48" s="922"/>
      <c r="AU48" s="922"/>
      <c r="AV48" s="922"/>
      <c r="AW48" s="922"/>
      <c r="AX48" s="922"/>
      <c r="AY48" s="922"/>
      <c r="AZ48" s="922"/>
      <c r="BA48" s="922"/>
      <c r="BB48" s="922"/>
      <c r="BC48" s="922"/>
      <c r="BD48" s="922"/>
      <c r="BE48" s="922"/>
      <c r="BF48" s="922"/>
      <c r="BG48" s="922"/>
      <c r="BH48" s="922"/>
      <c r="BI48" s="922"/>
      <c r="BJ48" s="922"/>
      <c r="BK48" s="922"/>
      <c r="BL48" s="922"/>
      <c r="BM48" s="922"/>
      <c r="BN48" s="922"/>
      <c r="BO48" s="922"/>
      <c r="BP48" s="922"/>
      <c r="BQ48" s="922"/>
      <c r="BR48" s="922"/>
      <c r="BS48" s="922"/>
      <c r="BT48" s="922"/>
      <c r="BU48" s="922"/>
      <c r="BV48" s="922"/>
      <c r="BW48" s="922"/>
      <c r="BX48" s="922"/>
      <c r="BY48" s="922"/>
      <c r="BZ48" s="922"/>
      <c r="CA48" s="922"/>
      <c r="CB48" s="922"/>
      <c r="CC48" s="922"/>
      <c r="CD48" s="922"/>
      <c r="CE48" s="922"/>
      <c r="CF48" s="922"/>
      <c r="CG48" s="922"/>
      <c r="CH48" s="922"/>
      <c r="CI48" s="922"/>
      <c r="CJ48" s="922"/>
      <c r="CK48" s="922"/>
      <c r="CL48" s="922"/>
      <c r="CM48" s="922"/>
      <c r="CN48" s="922"/>
      <c r="CO48" s="922"/>
      <c r="CP48" s="922"/>
      <c r="CQ48" s="922"/>
      <c r="CR48" s="922"/>
      <c r="CS48" s="922"/>
      <c r="CT48" s="922"/>
      <c r="CU48" s="922"/>
      <c r="CV48" s="922"/>
      <c r="CW48" s="922"/>
      <c r="CX48" s="922"/>
      <c r="CY48" s="922"/>
      <c r="CZ48" s="922"/>
      <c r="DA48" s="922"/>
      <c r="DB48" s="922"/>
      <c r="DC48" s="922"/>
      <c r="DD48" s="922"/>
      <c r="DE48" s="922"/>
      <c r="DF48" s="922"/>
      <c r="DG48" s="922"/>
      <c r="DH48" s="922"/>
      <c r="DI48" s="922"/>
      <c r="DJ48" s="922"/>
      <c r="DK48" s="922"/>
      <c r="DL48" s="922"/>
      <c r="DM48" s="922"/>
      <c r="DN48" s="922"/>
      <c r="DO48" s="922"/>
      <c r="DP48" s="922"/>
      <c r="DQ48" s="922"/>
      <c r="DR48" s="922"/>
      <c r="DS48" s="922"/>
      <c r="DT48" s="922"/>
      <c r="DU48" s="922"/>
      <c r="DV48" s="922"/>
      <c r="DW48" s="922"/>
      <c r="DX48" s="922"/>
      <c r="DY48" s="922"/>
      <c r="DZ48" s="922"/>
      <c r="EA48" s="922"/>
      <c r="EB48" s="922"/>
      <c r="EC48" s="922"/>
      <c r="ED48" s="922"/>
      <c r="EE48" s="922"/>
      <c r="EF48" s="922"/>
      <c r="EG48" s="922"/>
      <c r="EH48" s="922"/>
      <c r="EI48" s="922"/>
      <c r="EJ48" s="922"/>
      <c r="EK48" s="922"/>
      <c r="EL48" s="922"/>
      <c r="EM48" s="922"/>
      <c r="EN48" s="922"/>
      <c r="EO48" s="922"/>
      <c r="EP48" s="922"/>
      <c r="EQ48" s="922"/>
      <c r="ER48" s="922"/>
      <c r="ES48" s="922"/>
      <c r="ET48" s="922"/>
      <c r="EU48" s="922"/>
      <c r="EV48" s="922"/>
      <c r="EW48" s="922"/>
    </row>
    <row r="49" spans="1:153">
      <c r="A49" s="320">
        <v>40</v>
      </c>
      <c r="B49" s="759"/>
      <c r="C49" s="759"/>
      <c r="D49" s="759"/>
      <c r="E49" s="760"/>
      <c r="F49" s="761"/>
      <c r="G49" s="761"/>
      <c r="H49" s="762"/>
      <c r="I49" s="762"/>
      <c r="J49" s="763"/>
      <c r="K49" s="763"/>
      <c r="L49" s="763"/>
      <c r="M49" s="763"/>
      <c r="N49" s="764"/>
      <c r="O49" s="761"/>
      <c r="P49" s="761"/>
      <c r="Q49" s="761"/>
      <c r="R49" s="761"/>
      <c r="S49" s="761"/>
      <c r="T49" s="761"/>
      <c r="U49" s="761"/>
      <c r="V49" s="761"/>
      <c r="W49" s="765"/>
      <c r="X49" s="766"/>
      <c r="Y49" s="766"/>
      <c r="Z49" s="766"/>
      <c r="AA49" s="766"/>
      <c r="AB49" s="766"/>
      <c r="AC49" s="766"/>
      <c r="AD49" s="920">
        <v>40</v>
      </c>
      <c r="AE49" s="922"/>
      <c r="AF49" s="922"/>
      <c r="AG49" s="922"/>
      <c r="AH49" s="922"/>
      <c r="AI49" s="922"/>
      <c r="AJ49" s="922"/>
      <c r="AK49" s="922"/>
      <c r="AL49" s="922"/>
      <c r="AM49" s="922"/>
      <c r="AN49" s="922"/>
      <c r="AO49" s="922"/>
      <c r="AP49" s="922"/>
      <c r="AQ49" s="922"/>
      <c r="AR49" s="922"/>
      <c r="AS49" s="922"/>
      <c r="AT49" s="922"/>
      <c r="AU49" s="922"/>
      <c r="AV49" s="922"/>
      <c r="AW49" s="922"/>
      <c r="AX49" s="922"/>
      <c r="AY49" s="922"/>
      <c r="AZ49" s="922"/>
      <c r="BA49" s="922"/>
      <c r="BB49" s="922"/>
      <c r="BC49" s="922"/>
      <c r="BD49" s="922"/>
      <c r="BE49" s="922"/>
      <c r="BF49" s="922"/>
      <c r="BG49" s="922"/>
      <c r="BH49" s="922"/>
      <c r="BI49" s="922"/>
      <c r="BJ49" s="922"/>
      <c r="BK49" s="922"/>
      <c r="BL49" s="922"/>
      <c r="BM49" s="922"/>
      <c r="BN49" s="922"/>
      <c r="BO49" s="922"/>
      <c r="BP49" s="922"/>
      <c r="BQ49" s="922"/>
      <c r="BR49" s="922"/>
      <c r="BS49" s="922"/>
      <c r="BT49" s="922"/>
      <c r="BU49" s="922"/>
      <c r="BV49" s="922"/>
      <c r="BW49" s="922"/>
      <c r="BX49" s="922"/>
      <c r="BY49" s="922"/>
      <c r="BZ49" s="922"/>
      <c r="CA49" s="922"/>
      <c r="CB49" s="922"/>
      <c r="CC49" s="922"/>
      <c r="CD49" s="922"/>
      <c r="CE49" s="922"/>
      <c r="CF49" s="922"/>
      <c r="CG49" s="922"/>
      <c r="CH49" s="922"/>
      <c r="CI49" s="922"/>
      <c r="CJ49" s="922"/>
      <c r="CK49" s="922"/>
      <c r="CL49" s="922"/>
      <c r="CM49" s="922"/>
      <c r="CN49" s="922"/>
      <c r="CO49" s="922"/>
      <c r="CP49" s="922"/>
      <c r="CQ49" s="922"/>
      <c r="CR49" s="922"/>
      <c r="CS49" s="922"/>
      <c r="CT49" s="922"/>
      <c r="CU49" s="922"/>
      <c r="CV49" s="922"/>
      <c r="CW49" s="922"/>
      <c r="CX49" s="922"/>
      <c r="CY49" s="922"/>
      <c r="CZ49" s="922"/>
      <c r="DA49" s="922"/>
      <c r="DB49" s="922"/>
      <c r="DC49" s="922"/>
      <c r="DD49" s="922"/>
      <c r="DE49" s="922"/>
      <c r="DF49" s="922"/>
      <c r="DG49" s="922"/>
      <c r="DH49" s="922"/>
      <c r="DI49" s="922"/>
      <c r="DJ49" s="922"/>
      <c r="DK49" s="922"/>
      <c r="DL49" s="922"/>
      <c r="DM49" s="922"/>
      <c r="DN49" s="922"/>
      <c r="DO49" s="922"/>
      <c r="DP49" s="922"/>
      <c r="DQ49" s="922"/>
      <c r="DR49" s="922"/>
      <c r="DS49" s="922"/>
      <c r="DT49" s="922"/>
      <c r="DU49" s="922"/>
      <c r="DV49" s="922"/>
      <c r="DW49" s="922"/>
      <c r="DX49" s="922"/>
      <c r="DY49" s="922"/>
      <c r="DZ49" s="922"/>
      <c r="EA49" s="922"/>
      <c r="EB49" s="922"/>
      <c r="EC49" s="922"/>
      <c r="ED49" s="922"/>
      <c r="EE49" s="922"/>
      <c r="EF49" s="922"/>
      <c r="EG49" s="922"/>
      <c r="EH49" s="922"/>
      <c r="EI49" s="922"/>
      <c r="EJ49" s="922"/>
      <c r="EK49" s="922"/>
      <c r="EL49" s="922"/>
      <c r="EM49" s="922"/>
      <c r="EN49" s="922"/>
      <c r="EO49" s="922"/>
      <c r="EP49" s="922"/>
      <c r="EQ49" s="922"/>
      <c r="ER49" s="922"/>
      <c r="ES49" s="922"/>
      <c r="ET49" s="922"/>
      <c r="EU49" s="922"/>
      <c r="EV49" s="922"/>
      <c r="EW49" s="922"/>
    </row>
    <row r="50" spans="1:153">
      <c r="A50" s="320">
        <v>41</v>
      </c>
      <c r="B50" s="759"/>
      <c r="C50" s="759"/>
      <c r="D50" s="759"/>
      <c r="E50" s="760"/>
      <c r="F50" s="761"/>
      <c r="G50" s="761"/>
      <c r="H50" s="762"/>
      <c r="I50" s="762"/>
      <c r="J50" s="763"/>
      <c r="K50" s="763"/>
      <c r="L50" s="763"/>
      <c r="M50" s="763"/>
      <c r="N50" s="764"/>
      <c r="O50" s="761"/>
      <c r="P50" s="761"/>
      <c r="Q50" s="761"/>
      <c r="R50" s="761"/>
      <c r="S50" s="761"/>
      <c r="T50" s="761"/>
      <c r="U50" s="761"/>
      <c r="V50" s="761"/>
      <c r="W50" s="765"/>
      <c r="X50" s="766"/>
      <c r="Y50" s="766"/>
      <c r="Z50" s="766"/>
      <c r="AA50" s="766"/>
      <c r="AB50" s="766"/>
      <c r="AC50" s="766"/>
      <c r="AD50" s="920">
        <v>41</v>
      </c>
      <c r="AE50" s="922"/>
      <c r="AF50" s="922"/>
      <c r="AG50" s="922"/>
      <c r="AH50" s="922"/>
      <c r="AI50" s="922"/>
      <c r="AJ50" s="922"/>
      <c r="AK50" s="922"/>
      <c r="AL50" s="922"/>
      <c r="AM50" s="922"/>
      <c r="AN50" s="922"/>
      <c r="AO50" s="922"/>
      <c r="AP50" s="922"/>
      <c r="AQ50" s="922"/>
      <c r="AR50" s="922"/>
      <c r="AS50" s="922"/>
      <c r="AT50" s="922"/>
      <c r="AU50" s="922"/>
      <c r="AV50" s="922"/>
      <c r="AW50" s="922"/>
      <c r="AX50" s="922"/>
      <c r="AY50" s="922"/>
      <c r="AZ50" s="922"/>
      <c r="BA50" s="922"/>
      <c r="BB50" s="922"/>
      <c r="BC50" s="922"/>
      <c r="BD50" s="922"/>
      <c r="BE50" s="922"/>
      <c r="BF50" s="922"/>
      <c r="BG50" s="922"/>
      <c r="BH50" s="922"/>
      <c r="BI50" s="922"/>
      <c r="BJ50" s="922"/>
      <c r="BK50" s="922"/>
      <c r="BL50" s="922"/>
      <c r="BM50" s="922"/>
      <c r="BN50" s="922"/>
      <c r="BO50" s="922"/>
      <c r="BP50" s="922"/>
      <c r="BQ50" s="922"/>
      <c r="BR50" s="922"/>
      <c r="BS50" s="922"/>
      <c r="BT50" s="922"/>
      <c r="BU50" s="922"/>
      <c r="BV50" s="922"/>
      <c r="BW50" s="922"/>
      <c r="BX50" s="922"/>
      <c r="BY50" s="922"/>
      <c r="BZ50" s="922"/>
      <c r="CA50" s="922"/>
      <c r="CB50" s="922"/>
      <c r="CC50" s="922"/>
      <c r="CD50" s="922"/>
      <c r="CE50" s="922"/>
      <c r="CF50" s="922"/>
      <c r="CG50" s="922"/>
      <c r="CH50" s="922"/>
      <c r="CI50" s="922"/>
      <c r="CJ50" s="922"/>
      <c r="CK50" s="922"/>
      <c r="CL50" s="922"/>
      <c r="CM50" s="922"/>
      <c r="CN50" s="922"/>
      <c r="CO50" s="922"/>
      <c r="CP50" s="922"/>
      <c r="CQ50" s="922"/>
      <c r="CR50" s="922"/>
      <c r="CS50" s="922"/>
      <c r="CT50" s="922"/>
      <c r="CU50" s="922"/>
      <c r="CV50" s="922"/>
      <c r="CW50" s="922"/>
      <c r="CX50" s="922"/>
      <c r="CY50" s="922"/>
      <c r="CZ50" s="922"/>
      <c r="DA50" s="922"/>
      <c r="DB50" s="922"/>
      <c r="DC50" s="922"/>
      <c r="DD50" s="922"/>
      <c r="DE50" s="922"/>
      <c r="DF50" s="922"/>
      <c r="DG50" s="922"/>
      <c r="DH50" s="922"/>
      <c r="DI50" s="922"/>
      <c r="DJ50" s="922"/>
      <c r="DK50" s="922"/>
      <c r="DL50" s="922"/>
      <c r="DM50" s="922"/>
      <c r="DN50" s="922"/>
      <c r="DO50" s="922"/>
      <c r="DP50" s="922"/>
      <c r="DQ50" s="922"/>
      <c r="DR50" s="922"/>
      <c r="DS50" s="922"/>
      <c r="DT50" s="922"/>
      <c r="DU50" s="922"/>
      <c r="DV50" s="922"/>
      <c r="DW50" s="922"/>
      <c r="DX50" s="922"/>
      <c r="DY50" s="922"/>
      <c r="DZ50" s="922"/>
      <c r="EA50" s="922"/>
      <c r="EB50" s="922"/>
      <c r="EC50" s="922"/>
      <c r="ED50" s="922"/>
      <c r="EE50" s="922"/>
      <c r="EF50" s="922"/>
      <c r="EG50" s="922"/>
      <c r="EH50" s="922"/>
      <c r="EI50" s="922"/>
      <c r="EJ50" s="922"/>
      <c r="EK50" s="922"/>
      <c r="EL50" s="922"/>
      <c r="EM50" s="922"/>
      <c r="EN50" s="922"/>
      <c r="EO50" s="922"/>
      <c r="EP50" s="922"/>
      <c r="EQ50" s="922"/>
      <c r="ER50" s="922"/>
      <c r="ES50" s="922"/>
      <c r="ET50" s="922"/>
      <c r="EU50" s="922"/>
      <c r="EV50" s="922"/>
      <c r="EW50" s="922"/>
    </row>
    <row r="51" spans="1:153">
      <c r="A51" s="320">
        <v>42</v>
      </c>
      <c r="B51" s="759"/>
      <c r="C51" s="759"/>
      <c r="D51" s="759"/>
      <c r="E51" s="760"/>
      <c r="F51" s="761"/>
      <c r="G51" s="761"/>
      <c r="H51" s="762"/>
      <c r="I51" s="762"/>
      <c r="J51" s="763"/>
      <c r="K51" s="763"/>
      <c r="L51" s="763"/>
      <c r="M51" s="763"/>
      <c r="N51" s="764"/>
      <c r="O51" s="761"/>
      <c r="P51" s="761"/>
      <c r="Q51" s="761"/>
      <c r="R51" s="761"/>
      <c r="S51" s="761"/>
      <c r="T51" s="761"/>
      <c r="U51" s="761"/>
      <c r="V51" s="761"/>
      <c r="W51" s="765"/>
      <c r="X51" s="766"/>
      <c r="Y51" s="766"/>
      <c r="Z51" s="766"/>
      <c r="AA51" s="766"/>
      <c r="AB51" s="766"/>
      <c r="AC51" s="766"/>
      <c r="AD51" s="920">
        <v>42</v>
      </c>
      <c r="AE51" s="922"/>
      <c r="AF51" s="922"/>
      <c r="AG51" s="922"/>
      <c r="AH51" s="922"/>
      <c r="AI51" s="922"/>
      <c r="AJ51" s="922"/>
      <c r="AK51" s="922"/>
      <c r="AL51" s="922"/>
      <c r="AM51" s="922"/>
      <c r="AN51" s="922"/>
      <c r="AO51" s="922"/>
      <c r="AP51" s="922"/>
      <c r="AQ51" s="922"/>
      <c r="AR51" s="922"/>
      <c r="AS51" s="922"/>
      <c r="AT51" s="922"/>
      <c r="AU51" s="922"/>
      <c r="AV51" s="922"/>
      <c r="AW51" s="922"/>
      <c r="AX51" s="922"/>
      <c r="AY51" s="922"/>
      <c r="AZ51" s="922"/>
      <c r="BA51" s="922"/>
      <c r="BB51" s="922"/>
      <c r="BC51" s="922"/>
      <c r="BD51" s="922"/>
      <c r="BE51" s="922"/>
      <c r="BF51" s="922"/>
      <c r="BG51" s="922"/>
      <c r="BH51" s="922"/>
      <c r="BI51" s="922"/>
      <c r="BJ51" s="922"/>
      <c r="BK51" s="922"/>
      <c r="BL51" s="922"/>
      <c r="BM51" s="922"/>
      <c r="BN51" s="922"/>
      <c r="BO51" s="922"/>
      <c r="BP51" s="922"/>
      <c r="BQ51" s="922"/>
      <c r="BR51" s="922"/>
      <c r="BS51" s="922"/>
      <c r="BT51" s="922"/>
      <c r="BU51" s="922"/>
      <c r="BV51" s="922"/>
      <c r="BW51" s="922"/>
      <c r="BX51" s="922"/>
      <c r="BY51" s="922"/>
      <c r="BZ51" s="922"/>
      <c r="CA51" s="922"/>
      <c r="CB51" s="922"/>
      <c r="CC51" s="922"/>
      <c r="CD51" s="922"/>
      <c r="CE51" s="922"/>
      <c r="CF51" s="922"/>
      <c r="CG51" s="922"/>
      <c r="CH51" s="922"/>
      <c r="CI51" s="922"/>
      <c r="CJ51" s="922"/>
      <c r="CK51" s="922"/>
      <c r="CL51" s="922"/>
      <c r="CM51" s="922"/>
      <c r="CN51" s="922"/>
      <c r="CO51" s="922"/>
      <c r="CP51" s="922"/>
      <c r="CQ51" s="922"/>
      <c r="CR51" s="922"/>
      <c r="CS51" s="922"/>
      <c r="CT51" s="922"/>
      <c r="CU51" s="922"/>
      <c r="CV51" s="922"/>
      <c r="CW51" s="922"/>
      <c r="CX51" s="922"/>
      <c r="CY51" s="922"/>
      <c r="CZ51" s="922"/>
      <c r="DA51" s="922"/>
      <c r="DB51" s="922"/>
      <c r="DC51" s="922"/>
      <c r="DD51" s="922"/>
      <c r="DE51" s="922"/>
      <c r="DF51" s="922"/>
      <c r="DG51" s="922"/>
      <c r="DH51" s="922"/>
      <c r="DI51" s="922"/>
      <c r="DJ51" s="922"/>
      <c r="DK51" s="922"/>
      <c r="DL51" s="922"/>
      <c r="DM51" s="922"/>
      <c r="DN51" s="922"/>
      <c r="DO51" s="922"/>
      <c r="DP51" s="922"/>
      <c r="DQ51" s="922"/>
      <c r="DR51" s="922"/>
      <c r="DS51" s="922"/>
      <c r="DT51" s="922"/>
      <c r="DU51" s="922"/>
      <c r="DV51" s="922"/>
      <c r="DW51" s="922"/>
      <c r="DX51" s="922"/>
      <c r="DY51" s="922"/>
      <c r="DZ51" s="922"/>
      <c r="EA51" s="922"/>
      <c r="EB51" s="922"/>
      <c r="EC51" s="922"/>
      <c r="ED51" s="922"/>
      <c r="EE51" s="922"/>
      <c r="EF51" s="922"/>
      <c r="EG51" s="922"/>
      <c r="EH51" s="922"/>
      <c r="EI51" s="922"/>
      <c r="EJ51" s="922"/>
      <c r="EK51" s="922"/>
      <c r="EL51" s="922"/>
      <c r="EM51" s="922"/>
      <c r="EN51" s="922"/>
      <c r="EO51" s="922"/>
      <c r="EP51" s="922"/>
      <c r="EQ51" s="922"/>
      <c r="ER51" s="922"/>
      <c r="ES51" s="922"/>
      <c r="ET51" s="922"/>
      <c r="EU51" s="922"/>
      <c r="EV51" s="922"/>
      <c r="EW51" s="922"/>
    </row>
    <row r="52" spans="1:153">
      <c r="A52" s="320">
        <v>43</v>
      </c>
      <c r="B52" s="759"/>
      <c r="C52" s="759"/>
      <c r="D52" s="759"/>
      <c r="E52" s="760"/>
      <c r="F52" s="761"/>
      <c r="G52" s="761"/>
      <c r="H52" s="762"/>
      <c r="I52" s="762"/>
      <c r="J52" s="763"/>
      <c r="K52" s="763"/>
      <c r="L52" s="763"/>
      <c r="M52" s="763"/>
      <c r="N52" s="764"/>
      <c r="O52" s="761"/>
      <c r="P52" s="761"/>
      <c r="Q52" s="761"/>
      <c r="R52" s="761"/>
      <c r="S52" s="761"/>
      <c r="T52" s="761"/>
      <c r="U52" s="761"/>
      <c r="V52" s="761"/>
      <c r="W52" s="765"/>
      <c r="X52" s="766"/>
      <c r="Y52" s="766"/>
      <c r="Z52" s="766"/>
      <c r="AA52" s="766"/>
      <c r="AB52" s="766"/>
      <c r="AC52" s="766"/>
      <c r="AD52" s="920">
        <v>43</v>
      </c>
      <c r="AE52" s="922"/>
      <c r="AF52" s="922"/>
      <c r="AG52" s="922"/>
      <c r="AH52" s="922"/>
      <c r="AI52" s="922"/>
      <c r="AJ52" s="922"/>
      <c r="AK52" s="922"/>
      <c r="AL52" s="922"/>
      <c r="AM52" s="922"/>
      <c r="AN52" s="922"/>
      <c r="AO52" s="922"/>
      <c r="AP52" s="922"/>
      <c r="AQ52" s="922"/>
      <c r="AR52" s="922"/>
      <c r="AS52" s="922"/>
      <c r="AT52" s="922"/>
      <c r="AU52" s="922"/>
      <c r="AV52" s="922"/>
      <c r="AW52" s="922"/>
      <c r="AX52" s="922"/>
      <c r="AY52" s="922"/>
      <c r="AZ52" s="922"/>
      <c r="BA52" s="922"/>
      <c r="BB52" s="922"/>
      <c r="BC52" s="922"/>
      <c r="BD52" s="922"/>
      <c r="BE52" s="922"/>
      <c r="BF52" s="922"/>
      <c r="BG52" s="922"/>
      <c r="BH52" s="922"/>
      <c r="BI52" s="922"/>
      <c r="BJ52" s="922"/>
      <c r="BK52" s="922"/>
      <c r="BL52" s="922"/>
      <c r="BM52" s="922"/>
      <c r="BN52" s="922"/>
      <c r="BO52" s="922"/>
      <c r="BP52" s="922"/>
      <c r="BQ52" s="922"/>
      <c r="BR52" s="922"/>
      <c r="BS52" s="922"/>
      <c r="BT52" s="922"/>
      <c r="BU52" s="922"/>
      <c r="BV52" s="922"/>
      <c r="BW52" s="922"/>
      <c r="BX52" s="922"/>
      <c r="BY52" s="922"/>
      <c r="BZ52" s="922"/>
      <c r="CA52" s="922"/>
      <c r="CB52" s="922"/>
      <c r="CC52" s="922"/>
      <c r="CD52" s="922"/>
      <c r="CE52" s="922"/>
      <c r="CF52" s="922"/>
      <c r="CG52" s="922"/>
      <c r="CH52" s="922"/>
      <c r="CI52" s="922"/>
      <c r="CJ52" s="922"/>
      <c r="CK52" s="922"/>
      <c r="CL52" s="922"/>
      <c r="CM52" s="922"/>
      <c r="CN52" s="922"/>
      <c r="CO52" s="922"/>
      <c r="CP52" s="922"/>
      <c r="CQ52" s="922"/>
      <c r="CR52" s="922"/>
      <c r="CS52" s="922"/>
      <c r="CT52" s="922"/>
      <c r="CU52" s="922"/>
      <c r="CV52" s="922"/>
      <c r="CW52" s="922"/>
      <c r="CX52" s="922"/>
      <c r="CY52" s="922"/>
      <c r="CZ52" s="922"/>
      <c r="DA52" s="922"/>
      <c r="DB52" s="922"/>
      <c r="DC52" s="922"/>
      <c r="DD52" s="922"/>
      <c r="DE52" s="922"/>
      <c r="DF52" s="922"/>
      <c r="DG52" s="922"/>
      <c r="DH52" s="922"/>
      <c r="DI52" s="922"/>
      <c r="DJ52" s="922"/>
      <c r="DK52" s="922"/>
      <c r="DL52" s="922"/>
      <c r="DM52" s="922"/>
      <c r="DN52" s="922"/>
      <c r="DO52" s="922"/>
      <c r="DP52" s="922"/>
      <c r="DQ52" s="922"/>
      <c r="DR52" s="922"/>
      <c r="DS52" s="922"/>
      <c r="DT52" s="922"/>
      <c r="DU52" s="922"/>
      <c r="DV52" s="922"/>
      <c r="DW52" s="922"/>
      <c r="DX52" s="922"/>
      <c r="DY52" s="922"/>
      <c r="DZ52" s="922"/>
      <c r="EA52" s="922"/>
      <c r="EB52" s="922"/>
      <c r="EC52" s="922"/>
      <c r="ED52" s="922"/>
      <c r="EE52" s="922"/>
      <c r="EF52" s="922"/>
      <c r="EG52" s="922"/>
      <c r="EH52" s="922"/>
      <c r="EI52" s="922"/>
      <c r="EJ52" s="922"/>
      <c r="EK52" s="922"/>
      <c r="EL52" s="922"/>
      <c r="EM52" s="922"/>
      <c r="EN52" s="922"/>
      <c r="EO52" s="922"/>
      <c r="EP52" s="922"/>
      <c r="EQ52" s="922"/>
      <c r="ER52" s="922"/>
      <c r="ES52" s="922"/>
      <c r="ET52" s="922"/>
      <c r="EU52" s="922"/>
      <c r="EV52" s="922"/>
      <c r="EW52" s="922"/>
    </row>
    <row r="53" spans="1:153">
      <c r="A53" s="320">
        <v>44</v>
      </c>
      <c r="B53" s="759"/>
      <c r="C53" s="759"/>
      <c r="D53" s="759"/>
      <c r="E53" s="760"/>
      <c r="F53" s="761"/>
      <c r="G53" s="761"/>
      <c r="H53" s="762"/>
      <c r="I53" s="762"/>
      <c r="J53" s="763"/>
      <c r="K53" s="763"/>
      <c r="L53" s="763"/>
      <c r="M53" s="763"/>
      <c r="N53" s="764"/>
      <c r="O53" s="761"/>
      <c r="P53" s="761"/>
      <c r="Q53" s="761"/>
      <c r="R53" s="761"/>
      <c r="S53" s="761"/>
      <c r="T53" s="761"/>
      <c r="U53" s="761"/>
      <c r="V53" s="761"/>
      <c r="W53" s="765"/>
      <c r="X53" s="766"/>
      <c r="Y53" s="766"/>
      <c r="Z53" s="766"/>
      <c r="AA53" s="766"/>
      <c r="AB53" s="766"/>
      <c r="AC53" s="766"/>
      <c r="AD53" s="920">
        <v>44</v>
      </c>
      <c r="AE53" s="922"/>
      <c r="AF53" s="922"/>
      <c r="AG53" s="922"/>
      <c r="AH53" s="922"/>
      <c r="AI53" s="922"/>
      <c r="AJ53" s="922"/>
      <c r="AK53" s="922"/>
      <c r="AL53" s="922"/>
      <c r="AM53" s="922"/>
      <c r="AN53" s="922"/>
      <c r="AO53" s="922"/>
      <c r="AP53" s="922"/>
      <c r="AQ53" s="922"/>
      <c r="AR53" s="922"/>
      <c r="AS53" s="922"/>
      <c r="AT53" s="922"/>
      <c r="AU53" s="922"/>
      <c r="AV53" s="922"/>
      <c r="AW53" s="922"/>
      <c r="AX53" s="922"/>
      <c r="AY53" s="922"/>
      <c r="AZ53" s="922"/>
      <c r="BA53" s="922"/>
      <c r="BB53" s="922"/>
      <c r="BC53" s="922"/>
      <c r="BD53" s="922"/>
      <c r="BE53" s="922"/>
      <c r="BF53" s="922"/>
      <c r="BG53" s="922"/>
      <c r="BH53" s="922"/>
      <c r="BI53" s="922"/>
      <c r="BJ53" s="922"/>
      <c r="BK53" s="922"/>
      <c r="BL53" s="922"/>
      <c r="BM53" s="922"/>
      <c r="BN53" s="922"/>
      <c r="BO53" s="922"/>
      <c r="BP53" s="922"/>
      <c r="BQ53" s="922"/>
      <c r="BR53" s="922"/>
      <c r="BS53" s="922"/>
      <c r="BT53" s="922"/>
      <c r="BU53" s="922"/>
      <c r="BV53" s="922"/>
      <c r="BW53" s="922"/>
      <c r="BX53" s="922"/>
      <c r="BY53" s="922"/>
      <c r="BZ53" s="922"/>
      <c r="CA53" s="922"/>
      <c r="CB53" s="922"/>
      <c r="CC53" s="922"/>
      <c r="CD53" s="922"/>
      <c r="CE53" s="922"/>
      <c r="CF53" s="922"/>
      <c r="CG53" s="922"/>
      <c r="CH53" s="922"/>
      <c r="CI53" s="922"/>
      <c r="CJ53" s="922"/>
      <c r="CK53" s="922"/>
      <c r="CL53" s="922"/>
      <c r="CM53" s="922"/>
      <c r="CN53" s="922"/>
      <c r="CO53" s="922"/>
      <c r="CP53" s="922"/>
      <c r="CQ53" s="922"/>
      <c r="CR53" s="922"/>
      <c r="CS53" s="922"/>
      <c r="CT53" s="922"/>
      <c r="CU53" s="922"/>
      <c r="CV53" s="922"/>
      <c r="CW53" s="922"/>
      <c r="CX53" s="922"/>
      <c r="CY53" s="922"/>
      <c r="CZ53" s="922"/>
      <c r="DA53" s="922"/>
      <c r="DB53" s="922"/>
      <c r="DC53" s="922"/>
      <c r="DD53" s="922"/>
      <c r="DE53" s="922"/>
      <c r="DF53" s="922"/>
      <c r="DG53" s="922"/>
      <c r="DH53" s="922"/>
      <c r="DI53" s="922"/>
      <c r="DJ53" s="922"/>
      <c r="DK53" s="922"/>
      <c r="DL53" s="922"/>
      <c r="DM53" s="922"/>
      <c r="DN53" s="922"/>
      <c r="DO53" s="922"/>
      <c r="DP53" s="922"/>
      <c r="DQ53" s="922"/>
      <c r="DR53" s="922"/>
      <c r="DS53" s="922"/>
      <c r="DT53" s="922"/>
      <c r="DU53" s="922"/>
      <c r="DV53" s="922"/>
      <c r="DW53" s="922"/>
      <c r="DX53" s="922"/>
      <c r="DY53" s="922"/>
      <c r="DZ53" s="922"/>
      <c r="EA53" s="922"/>
      <c r="EB53" s="922"/>
      <c r="EC53" s="922"/>
      <c r="ED53" s="922"/>
      <c r="EE53" s="922"/>
      <c r="EF53" s="922"/>
      <c r="EG53" s="922"/>
      <c r="EH53" s="922"/>
      <c r="EI53" s="922"/>
      <c r="EJ53" s="922"/>
      <c r="EK53" s="922"/>
      <c r="EL53" s="922"/>
      <c r="EM53" s="922"/>
      <c r="EN53" s="922"/>
      <c r="EO53" s="922"/>
      <c r="EP53" s="922"/>
      <c r="EQ53" s="922"/>
      <c r="ER53" s="922"/>
      <c r="ES53" s="922"/>
      <c r="ET53" s="922"/>
      <c r="EU53" s="922"/>
      <c r="EV53" s="922"/>
      <c r="EW53" s="922"/>
    </row>
    <row r="54" spans="1:153">
      <c r="A54" s="320">
        <v>45</v>
      </c>
      <c r="B54" s="759"/>
      <c r="C54" s="759"/>
      <c r="D54" s="759"/>
      <c r="E54" s="760"/>
      <c r="F54" s="761"/>
      <c r="G54" s="761"/>
      <c r="H54" s="762"/>
      <c r="I54" s="762"/>
      <c r="J54" s="763"/>
      <c r="K54" s="763"/>
      <c r="L54" s="763"/>
      <c r="M54" s="763"/>
      <c r="N54" s="764"/>
      <c r="O54" s="761"/>
      <c r="P54" s="761"/>
      <c r="Q54" s="761"/>
      <c r="R54" s="761"/>
      <c r="S54" s="761"/>
      <c r="T54" s="761"/>
      <c r="U54" s="761"/>
      <c r="V54" s="761"/>
      <c r="W54" s="765"/>
      <c r="X54" s="766"/>
      <c r="Y54" s="766"/>
      <c r="Z54" s="766"/>
      <c r="AA54" s="766"/>
      <c r="AB54" s="766"/>
      <c r="AC54" s="766"/>
      <c r="AD54" s="920">
        <v>45</v>
      </c>
      <c r="AE54" s="922"/>
      <c r="AF54" s="922"/>
      <c r="AG54" s="922"/>
      <c r="AH54" s="922"/>
      <c r="AI54" s="922"/>
      <c r="AJ54" s="922"/>
      <c r="AK54" s="922"/>
      <c r="AL54" s="922"/>
      <c r="AM54" s="922"/>
      <c r="AN54" s="922"/>
      <c r="AO54" s="922"/>
      <c r="AP54" s="922"/>
      <c r="AQ54" s="922"/>
      <c r="AR54" s="922"/>
      <c r="AS54" s="922"/>
      <c r="AT54" s="922"/>
      <c r="AU54" s="922"/>
      <c r="AV54" s="922"/>
      <c r="AW54" s="922"/>
      <c r="AX54" s="922"/>
      <c r="AY54" s="922"/>
      <c r="AZ54" s="922"/>
      <c r="BA54" s="922"/>
      <c r="BB54" s="922"/>
      <c r="BC54" s="922"/>
      <c r="BD54" s="922"/>
      <c r="BE54" s="922"/>
      <c r="BF54" s="922"/>
      <c r="BG54" s="922"/>
      <c r="BH54" s="922"/>
      <c r="BI54" s="922"/>
      <c r="BJ54" s="922"/>
      <c r="BK54" s="922"/>
      <c r="BL54" s="922"/>
      <c r="BM54" s="922"/>
      <c r="BN54" s="922"/>
      <c r="BO54" s="922"/>
      <c r="BP54" s="922"/>
      <c r="BQ54" s="922"/>
      <c r="BR54" s="922"/>
      <c r="BS54" s="922"/>
      <c r="BT54" s="922"/>
      <c r="BU54" s="922"/>
      <c r="BV54" s="922"/>
      <c r="BW54" s="922"/>
      <c r="BX54" s="922"/>
      <c r="BY54" s="922"/>
      <c r="BZ54" s="922"/>
      <c r="CA54" s="922"/>
      <c r="CB54" s="922"/>
      <c r="CC54" s="922"/>
      <c r="CD54" s="922"/>
      <c r="CE54" s="922"/>
      <c r="CF54" s="922"/>
      <c r="CG54" s="922"/>
      <c r="CH54" s="922"/>
      <c r="CI54" s="922"/>
      <c r="CJ54" s="922"/>
      <c r="CK54" s="922"/>
      <c r="CL54" s="922"/>
      <c r="CM54" s="922"/>
      <c r="CN54" s="922"/>
      <c r="CO54" s="922"/>
      <c r="CP54" s="922"/>
      <c r="CQ54" s="922"/>
      <c r="CR54" s="922"/>
      <c r="CS54" s="922"/>
      <c r="CT54" s="922"/>
      <c r="CU54" s="922"/>
      <c r="CV54" s="922"/>
      <c r="CW54" s="922"/>
      <c r="CX54" s="922"/>
      <c r="CY54" s="922"/>
      <c r="CZ54" s="922"/>
      <c r="DA54" s="922"/>
      <c r="DB54" s="922"/>
      <c r="DC54" s="922"/>
      <c r="DD54" s="922"/>
      <c r="DE54" s="922"/>
      <c r="DF54" s="922"/>
      <c r="DG54" s="922"/>
      <c r="DH54" s="922"/>
      <c r="DI54" s="922"/>
      <c r="DJ54" s="922"/>
      <c r="DK54" s="922"/>
      <c r="DL54" s="922"/>
      <c r="DM54" s="922"/>
      <c r="DN54" s="922"/>
      <c r="DO54" s="922"/>
      <c r="DP54" s="922"/>
      <c r="DQ54" s="922"/>
      <c r="DR54" s="922"/>
      <c r="DS54" s="922"/>
      <c r="DT54" s="922"/>
      <c r="DU54" s="922"/>
      <c r="DV54" s="922"/>
      <c r="DW54" s="922"/>
      <c r="DX54" s="922"/>
      <c r="DY54" s="922"/>
      <c r="DZ54" s="922"/>
      <c r="EA54" s="922"/>
      <c r="EB54" s="922"/>
      <c r="EC54" s="922"/>
      <c r="ED54" s="922"/>
      <c r="EE54" s="922"/>
      <c r="EF54" s="922"/>
      <c r="EG54" s="922"/>
      <c r="EH54" s="922"/>
      <c r="EI54" s="922"/>
      <c r="EJ54" s="922"/>
      <c r="EK54" s="922"/>
      <c r="EL54" s="922"/>
      <c r="EM54" s="922"/>
      <c r="EN54" s="922"/>
      <c r="EO54" s="922"/>
      <c r="EP54" s="922"/>
      <c r="EQ54" s="922"/>
      <c r="ER54" s="922"/>
      <c r="ES54" s="922"/>
      <c r="ET54" s="922"/>
      <c r="EU54" s="922"/>
      <c r="EV54" s="922"/>
      <c r="EW54" s="922"/>
    </row>
    <row r="55" spans="1:153">
      <c r="A55" s="320">
        <v>46</v>
      </c>
      <c r="B55" s="759"/>
      <c r="C55" s="759"/>
      <c r="D55" s="759"/>
      <c r="E55" s="760"/>
      <c r="F55" s="761"/>
      <c r="G55" s="761"/>
      <c r="H55" s="762"/>
      <c r="I55" s="762"/>
      <c r="J55" s="763"/>
      <c r="K55" s="763"/>
      <c r="L55" s="763"/>
      <c r="M55" s="763"/>
      <c r="N55" s="764"/>
      <c r="O55" s="761"/>
      <c r="P55" s="761"/>
      <c r="Q55" s="761"/>
      <c r="R55" s="761"/>
      <c r="S55" s="761"/>
      <c r="T55" s="761"/>
      <c r="U55" s="761"/>
      <c r="V55" s="761"/>
      <c r="W55" s="765"/>
      <c r="X55" s="766"/>
      <c r="Y55" s="766"/>
      <c r="Z55" s="766"/>
      <c r="AA55" s="766"/>
      <c r="AB55" s="766"/>
      <c r="AC55" s="766"/>
      <c r="AD55" s="920">
        <v>46</v>
      </c>
      <c r="AE55" s="922"/>
      <c r="AF55" s="922"/>
      <c r="AG55" s="922"/>
      <c r="AH55" s="922"/>
      <c r="AI55" s="922"/>
      <c r="AJ55" s="922"/>
      <c r="AK55" s="922"/>
      <c r="AL55" s="922"/>
      <c r="AM55" s="922"/>
      <c r="AN55" s="922"/>
      <c r="AO55" s="922"/>
      <c r="AP55" s="922"/>
      <c r="AQ55" s="922"/>
      <c r="AR55" s="922"/>
      <c r="AS55" s="922"/>
      <c r="AT55" s="922"/>
      <c r="AU55" s="922"/>
      <c r="AV55" s="922"/>
      <c r="AW55" s="922"/>
      <c r="AX55" s="922"/>
      <c r="AY55" s="922"/>
      <c r="AZ55" s="922"/>
      <c r="BA55" s="922"/>
      <c r="BB55" s="922"/>
      <c r="BC55" s="922"/>
      <c r="BD55" s="922"/>
      <c r="BE55" s="922"/>
      <c r="BF55" s="922"/>
      <c r="BG55" s="922"/>
      <c r="BH55" s="922"/>
      <c r="BI55" s="922"/>
      <c r="BJ55" s="922"/>
      <c r="BK55" s="922"/>
      <c r="BL55" s="922"/>
      <c r="BM55" s="922"/>
      <c r="BN55" s="922"/>
      <c r="BO55" s="922"/>
      <c r="BP55" s="922"/>
      <c r="BQ55" s="922"/>
      <c r="BR55" s="922"/>
      <c r="BS55" s="922"/>
      <c r="BT55" s="922"/>
      <c r="BU55" s="922"/>
      <c r="BV55" s="922"/>
      <c r="BW55" s="922"/>
      <c r="BX55" s="922"/>
      <c r="BY55" s="922"/>
      <c r="BZ55" s="922"/>
      <c r="CA55" s="922"/>
      <c r="CB55" s="922"/>
      <c r="CC55" s="922"/>
      <c r="CD55" s="922"/>
      <c r="CE55" s="922"/>
      <c r="CF55" s="922"/>
      <c r="CG55" s="922"/>
      <c r="CH55" s="922"/>
      <c r="CI55" s="922"/>
      <c r="CJ55" s="922"/>
      <c r="CK55" s="922"/>
      <c r="CL55" s="922"/>
      <c r="CM55" s="922"/>
      <c r="CN55" s="922"/>
      <c r="CO55" s="922"/>
      <c r="CP55" s="922"/>
      <c r="CQ55" s="922"/>
      <c r="CR55" s="922"/>
      <c r="CS55" s="922"/>
      <c r="CT55" s="922"/>
      <c r="CU55" s="922"/>
      <c r="CV55" s="922"/>
      <c r="CW55" s="922"/>
      <c r="CX55" s="922"/>
      <c r="CY55" s="922"/>
      <c r="CZ55" s="922"/>
      <c r="DA55" s="922"/>
      <c r="DB55" s="922"/>
      <c r="DC55" s="922"/>
      <c r="DD55" s="922"/>
      <c r="DE55" s="922"/>
      <c r="DF55" s="922"/>
      <c r="DG55" s="922"/>
      <c r="DH55" s="922"/>
      <c r="DI55" s="922"/>
      <c r="DJ55" s="922"/>
      <c r="DK55" s="922"/>
      <c r="DL55" s="922"/>
      <c r="DM55" s="922"/>
      <c r="DN55" s="922"/>
      <c r="DO55" s="922"/>
      <c r="DP55" s="922"/>
      <c r="DQ55" s="922"/>
      <c r="DR55" s="922"/>
      <c r="DS55" s="922"/>
      <c r="DT55" s="922"/>
      <c r="DU55" s="922"/>
      <c r="DV55" s="922"/>
      <c r="DW55" s="922"/>
      <c r="DX55" s="922"/>
      <c r="DY55" s="922"/>
      <c r="DZ55" s="922"/>
      <c r="EA55" s="922"/>
      <c r="EB55" s="922"/>
      <c r="EC55" s="922"/>
      <c r="ED55" s="922"/>
      <c r="EE55" s="922"/>
      <c r="EF55" s="922"/>
      <c r="EG55" s="922"/>
      <c r="EH55" s="922"/>
      <c r="EI55" s="922"/>
      <c r="EJ55" s="922"/>
      <c r="EK55" s="922"/>
      <c r="EL55" s="922"/>
      <c r="EM55" s="922"/>
      <c r="EN55" s="922"/>
      <c r="EO55" s="922"/>
      <c r="EP55" s="922"/>
      <c r="EQ55" s="922"/>
      <c r="ER55" s="922"/>
      <c r="ES55" s="922"/>
      <c r="ET55" s="922"/>
      <c r="EU55" s="922"/>
      <c r="EV55" s="922"/>
      <c r="EW55" s="922"/>
    </row>
    <row r="56" spans="1:153">
      <c r="A56" s="320">
        <v>47</v>
      </c>
      <c r="B56" s="759"/>
      <c r="C56" s="759"/>
      <c r="D56" s="759"/>
      <c r="E56" s="760"/>
      <c r="F56" s="761"/>
      <c r="G56" s="761"/>
      <c r="H56" s="762"/>
      <c r="I56" s="762"/>
      <c r="J56" s="763"/>
      <c r="K56" s="763"/>
      <c r="L56" s="763"/>
      <c r="M56" s="763"/>
      <c r="N56" s="764"/>
      <c r="O56" s="761"/>
      <c r="P56" s="761"/>
      <c r="Q56" s="761"/>
      <c r="R56" s="761"/>
      <c r="S56" s="761"/>
      <c r="T56" s="761"/>
      <c r="U56" s="761"/>
      <c r="V56" s="761"/>
      <c r="W56" s="765"/>
      <c r="X56" s="766"/>
      <c r="Y56" s="766"/>
      <c r="Z56" s="766"/>
      <c r="AA56" s="766"/>
      <c r="AB56" s="766"/>
      <c r="AC56" s="766"/>
      <c r="AD56" s="920">
        <v>47</v>
      </c>
      <c r="AE56" s="922"/>
      <c r="AF56" s="922"/>
      <c r="AG56" s="922"/>
      <c r="AH56" s="922"/>
      <c r="AI56" s="922"/>
      <c r="AJ56" s="922"/>
      <c r="AK56" s="922"/>
      <c r="AL56" s="922"/>
      <c r="AM56" s="922"/>
      <c r="AN56" s="922"/>
      <c r="AO56" s="922"/>
      <c r="AP56" s="922"/>
      <c r="AQ56" s="922"/>
      <c r="AR56" s="922"/>
      <c r="AS56" s="922"/>
      <c r="AT56" s="922"/>
      <c r="AU56" s="922"/>
      <c r="AV56" s="922"/>
      <c r="AW56" s="922"/>
      <c r="AX56" s="922"/>
      <c r="AY56" s="922"/>
      <c r="AZ56" s="922"/>
      <c r="BA56" s="922"/>
      <c r="BB56" s="922"/>
      <c r="BC56" s="922"/>
      <c r="BD56" s="922"/>
      <c r="BE56" s="922"/>
      <c r="BF56" s="922"/>
      <c r="BG56" s="922"/>
      <c r="BH56" s="922"/>
      <c r="BI56" s="922"/>
      <c r="BJ56" s="922"/>
      <c r="BK56" s="922"/>
      <c r="BL56" s="922"/>
      <c r="BM56" s="922"/>
      <c r="BN56" s="922"/>
      <c r="BO56" s="922"/>
      <c r="BP56" s="922"/>
      <c r="BQ56" s="922"/>
      <c r="BR56" s="922"/>
      <c r="BS56" s="922"/>
      <c r="BT56" s="922"/>
      <c r="BU56" s="922"/>
      <c r="BV56" s="922"/>
      <c r="BW56" s="922"/>
      <c r="BX56" s="922"/>
      <c r="BY56" s="922"/>
      <c r="BZ56" s="922"/>
      <c r="CA56" s="922"/>
      <c r="CB56" s="922"/>
      <c r="CC56" s="922"/>
      <c r="CD56" s="922"/>
      <c r="CE56" s="922"/>
      <c r="CF56" s="922"/>
      <c r="CG56" s="922"/>
      <c r="CH56" s="922"/>
      <c r="CI56" s="922"/>
      <c r="CJ56" s="922"/>
      <c r="CK56" s="922"/>
      <c r="CL56" s="922"/>
      <c r="CM56" s="922"/>
      <c r="CN56" s="922"/>
      <c r="CO56" s="922"/>
      <c r="CP56" s="922"/>
      <c r="CQ56" s="922"/>
      <c r="CR56" s="922"/>
      <c r="CS56" s="922"/>
      <c r="CT56" s="922"/>
      <c r="CU56" s="922"/>
      <c r="CV56" s="922"/>
      <c r="CW56" s="922"/>
      <c r="CX56" s="922"/>
      <c r="CY56" s="922"/>
      <c r="CZ56" s="922"/>
      <c r="DA56" s="922"/>
      <c r="DB56" s="922"/>
      <c r="DC56" s="922"/>
      <c r="DD56" s="922"/>
      <c r="DE56" s="922"/>
      <c r="DF56" s="922"/>
      <c r="DG56" s="922"/>
      <c r="DH56" s="922"/>
      <c r="DI56" s="922"/>
      <c r="DJ56" s="922"/>
      <c r="DK56" s="922"/>
      <c r="DL56" s="922"/>
      <c r="DM56" s="922"/>
      <c r="DN56" s="922"/>
      <c r="DO56" s="922"/>
      <c r="DP56" s="922"/>
      <c r="DQ56" s="922"/>
      <c r="DR56" s="922"/>
      <c r="DS56" s="922"/>
      <c r="DT56" s="922"/>
      <c r="DU56" s="922"/>
      <c r="DV56" s="922"/>
      <c r="DW56" s="922"/>
      <c r="DX56" s="922"/>
      <c r="DY56" s="922"/>
      <c r="DZ56" s="922"/>
      <c r="EA56" s="922"/>
      <c r="EB56" s="922"/>
      <c r="EC56" s="922"/>
      <c r="ED56" s="922"/>
      <c r="EE56" s="922"/>
      <c r="EF56" s="922"/>
      <c r="EG56" s="922"/>
      <c r="EH56" s="922"/>
      <c r="EI56" s="922"/>
      <c r="EJ56" s="922"/>
      <c r="EK56" s="922"/>
      <c r="EL56" s="922"/>
      <c r="EM56" s="922"/>
      <c r="EN56" s="922"/>
      <c r="EO56" s="922"/>
      <c r="EP56" s="922"/>
      <c r="EQ56" s="922"/>
      <c r="ER56" s="922"/>
      <c r="ES56" s="922"/>
      <c r="ET56" s="922"/>
      <c r="EU56" s="922"/>
      <c r="EV56" s="922"/>
      <c r="EW56" s="922"/>
    </row>
    <row r="57" spans="1:153">
      <c r="A57" s="320">
        <v>48</v>
      </c>
      <c r="B57" s="759"/>
      <c r="C57" s="759"/>
      <c r="D57" s="759"/>
      <c r="E57" s="760"/>
      <c r="F57" s="761"/>
      <c r="G57" s="761"/>
      <c r="H57" s="762"/>
      <c r="I57" s="762"/>
      <c r="J57" s="763"/>
      <c r="K57" s="763"/>
      <c r="L57" s="763"/>
      <c r="M57" s="763"/>
      <c r="N57" s="764"/>
      <c r="O57" s="761"/>
      <c r="P57" s="761"/>
      <c r="Q57" s="761"/>
      <c r="R57" s="761"/>
      <c r="S57" s="761"/>
      <c r="T57" s="761"/>
      <c r="U57" s="761"/>
      <c r="V57" s="761"/>
      <c r="W57" s="765"/>
      <c r="X57" s="766"/>
      <c r="Y57" s="766"/>
      <c r="Z57" s="766"/>
      <c r="AA57" s="766"/>
      <c r="AB57" s="766"/>
      <c r="AC57" s="766"/>
      <c r="AD57" s="920">
        <v>48</v>
      </c>
      <c r="AE57" s="922"/>
      <c r="AF57" s="922"/>
      <c r="AG57" s="922"/>
      <c r="AH57" s="922"/>
      <c r="AI57" s="922"/>
      <c r="AJ57" s="922"/>
      <c r="AK57" s="922"/>
      <c r="AL57" s="922"/>
      <c r="AM57" s="922"/>
      <c r="AN57" s="922"/>
      <c r="AO57" s="922"/>
      <c r="AP57" s="922"/>
      <c r="AQ57" s="922"/>
      <c r="AR57" s="922"/>
      <c r="AS57" s="922"/>
      <c r="AT57" s="922"/>
      <c r="AU57" s="922"/>
      <c r="AV57" s="922"/>
      <c r="AW57" s="922"/>
      <c r="AX57" s="922"/>
      <c r="AY57" s="922"/>
      <c r="AZ57" s="922"/>
      <c r="BA57" s="922"/>
      <c r="BB57" s="922"/>
      <c r="BC57" s="922"/>
      <c r="BD57" s="922"/>
      <c r="BE57" s="922"/>
      <c r="BF57" s="922"/>
      <c r="BG57" s="922"/>
      <c r="BH57" s="922"/>
      <c r="BI57" s="922"/>
      <c r="BJ57" s="922"/>
      <c r="BK57" s="922"/>
      <c r="BL57" s="922"/>
      <c r="BM57" s="922"/>
      <c r="BN57" s="922"/>
      <c r="BO57" s="922"/>
      <c r="BP57" s="922"/>
      <c r="BQ57" s="922"/>
      <c r="BR57" s="922"/>
      <c r="BS57" s="922"/>
      <c r="BT57" s="922"/>
      <c r="BU57" s="922"/>
      <c r="BV57" s="922"/>
      <c r="BW57" s="922"/>
      <c r="BX57" s="922"/>
      <c r="BY57" s="922"/>
      <c r="BZ57" s="922"/>
      <c r="CA57" s="922"/>
      <c r="CB57" s="922"/>
      <c r="CC57" s="922"/>
      <c r="CD57" s="922"/>
      <c r="CE57" s="922"/>
      <c r="CF57" s="922"/>
      <c r="CG57" s="922"/>
      <c r="CH57" s="922"/>
      <c r="CI57" s="922"/>
      <c r="CJ57" s="922"/>
      <c r="CK57" s="922"/>
      <c r="CL57" s="922"/>
      <c r="CM57" s="922"/>
      <c r="CN57" s="922"/>
      <c r="CO57" s="922"/>
      <c r="CP57" s="922"/>
      <c r="CQ57" s="922"/>
      <c r="CR57" s="922"/>
      <c r="CS57" s="922"/>
      <c r="CT57" s="922"/>
      <c r="CU57" s="922"/>
      <c r="CV57" s="922"/>
      <c r="CW57" s="922"/>
      <c r="CX57" s="922"/>
      <c r="CY57" s="922"/>
      <c r="CZ57" s="922"/>
      <c r="DA57" s="922"/>
      <c r="DB57" s="922"/>
      <c r="DC57" s="922"/>
      <c r="DD57" s="922"/>
      <c r="DE57" s="922"/>
      <c r="DF57" s="922"/>
      <c r="DG57" s="922"/>
      <c r="DH57" s="922"/>
      <c r="DI57" s="922"/>
      <c r="DJ57" s="922"/>
      <c r="DK57" s="922"/>
      <c r="DL57" s="922"/>
      <c r="DM57" s="922"/>
      <c r="DN57" s="922"/>
      <c r="DO57" s="922"/>
      <c r="DP57" s="922"/>
      <c r="DQ57" s="922"/>
      <c r="DR57" s="922"/>
      <c r="DS57" s="922"/>
      <c r="DT57" s="922"/>
      <c r="DU57" s="922"/>
      <c r="DV57" s="922"/>
      <c r="DW57" s="922"/>
      <c r="DX57" s="922"/>
      <c r="DY57" s="922"/>
      <c r="DZ57" s="922"/>
      <c r="EA57" s="922"/>
      <c r="EB57" s="922"/>
      <c r="EC57" s="922"/>
      <c r="ED57" s="922"/>
      <c r="EE57" s="922"/>
      <c r="EF57" s="922"/>
      <c r="EG57" s="922"/>
      <c r="EH57" s="922"/>
      <c r="EI57" s="922"/>
      <c r="EJ57" s="922"/>
      <c r="EK57" s="922"/>
      <c r="EL57" s="922"/>
      <c r="EM57" s="922"/>
      <c r="EN57" s="922"/>
      <c r="EO57" s="922"/>
      <c r="EP57" s="922"/>
      <c r="EQ57" s="922"/>
      <c r="ER57" s="922"/>
      <c r="ES57" s="922"/>
      <c r="ET57" s="922"/>
      <c r="EU57" s="922"/>
      <c r="EV57" s="922"/>
      <c r="EW57" s="922"/>
    </row>
    <row r="58" spans="1:153">
      <c r="A58" s="320">
        <v>49</v>
      </c>
      <c r="B58" s="759"/>
      <c r="C58" s="759"/>
      <c r="D58" s="759"/>
      <c r="E58" s="760"/>
      <c r="F58" s="761"/>
      <c r="G58" s="761"/>
      <c r="H58" s="762"/>
      <c r="I58" s="762"/>
      <c r="J58" s="763"/>
      <c r="K58" s="763"/>
      <c r="L58" s="763"/>
      <c r="M58" s="763"/>
      <c r="N58" s="764"/>
      <c r="O58" s="761"/>
      <c r="P58" s="761"/>
      <c r="Q58" s="761"/>
      <c r="R58" s="761"/>
      <c r="S58" s="761"/>
      <c r="T58" s="761"/>
      <c r="U58" s="761"/>
      <c r="V58" s="761"/>
      <c r="W58" s="765"/>
      <c r="X58" s="766"/>
      <c r="Y58" s="766"/>
      <c r="Z58" s="766"/>
      <c r="AA58" s="766"/>
      <c r="AB58" s="766"/>
      <c r="AC58" s="766"/>
      <c r="AD58" s="920">
        <v>49</v>
      </c>
      <c r="AE58" s="922"/>
      <c r="AF58" s="922"/>
      <c r="AG58" s="922"/>
      <c r="AH58" s="922"/>
      <c r="AI58" s="922"/>
      <c r="AJ58" s="922"/>
      <c r="AK58" s="922"/>
      <c r="AL58" s="922"/>
      <c r="AM58" s="922"/>
      <c r="AN58" s="922"/>
      <c r="AO58" s="922"/>
      <c r="AP58" s="922"/>
      <c r="AQ58" s="922"/>
      <c r="AR58" s="922"/>
      <c r="AS58" s="922"/>
      <c r="AT58" s="922"/>
      <c r="AU58" s="922"/>
      <c r="AV58" s="922"/>
      <c r="AW58" s="922"/>
      <c r="AX58" s="922"/>
      <c r="AY58" s="922"/>
      <c r="AZ58" s="922"/>
      <c r="BA58" s="922"/>
      <c r="BB58" s="922"/>
      <c r="BC58" s="922"/>
      <c r="BD58" s="922"/>
      <c r="BE58" s="922"/>
      <c r="BF58" s="922"/>
      <c r="BG58" s="922"/>
      <c r="BH58" s="922"/>
      <c r="BI58" s="922"/>
      <c r="BJ58" s="922"/>
      <c r="BK58" s="922"/>
      <c r="BL58" s="922"/>
      <c r="BM58" s="922"/>
      <c r="BN58" s="922"/>
      <c r="BO58" s="922"/>
      <c r="BP58" s="922"/>
      <c r="BQ58" s="922"/>
      <c r="BR58" s="922"/>
      <c r="BS58" s="922"/>
      <c r="BT58" s="922"/>
      <c r="BU58" s="922"/>
      <c r="BV58" s="922"/>
      <c r="BW58" s="922"/>
      <c r="BX58" s="922"/>
      <c r="BY58" s="922"/>
      <c r="BZ58" s="922"/>
      <c r="CA58" s="922"/>
      <c r="CB58" s="922"/>
      <c r="CC58" s="922"/>
      <c r="CD58" s="922"/>
      <c r="CE58" s="922"/>
      <c r="CF58" s="922"/>
      <c r="CG58" s="922"/>
      <c r="CH58" s="922"/>
      <c r="CI58" s="922"/>
      <c r="CJ58" s="922"/>
      <c r="CK58" s="922"/>
      <c r="CL58" s="922"/>
      <c r="CM58" s="922"/>
      <c r="CN58" s="922"/>
      <c r="CO58" s="922"/>
      <c r="CP58" s="922"/>
      <c r="CQ58" s="922"/>
      <c r="CR58" s="922"/>
      <c r="CS58" s="922"/>
      <c r="CT58" s="922"/>
      <c r="CU58" s="922"/>
      <c r="CV58" s="922"/>
      <c r="CW58" s="922"/>
      <c r="CX58" s="922"/>
      <c r="CY58" s="922"/>
      <c r="CZ58" s="922"/>
      <c r="DA58" s="922"/>
      <c r="DB58" s="922"/>
      <c r="DC58" s="922"/>
      <c r="DD58" s="922"/>
      <c r="DE58" s="922"/>
      <c r="DF58" s="922"/>
      <c r="DG58" s="922"/>
      <c r="DH58" s="922"/>
      <c r="DI58" s="922"/>
      <c r="DJ58" s="922"/>
      <c r="DK58" s="922"/>
      <c r="DL58" s="922"/>
      <c r="DM58" s="922"/>
      <c r="DN58" s="922"/>
      <c r="DO58" s="922"/>
      <c r="DP58" s="922"/>
      <c r="DQ58" s="922"/>
      <c r="DR58" s="922"/>
      <c r="DS58" s="922"/>
      <c r="DT58" s="922"/>
      <c r="DU58" s="922"/>
      <c r="DV58" s="922"/>
      <c r="DW58" s="922"/>
      <c r="DX58" s="922"/>
      <c r="DY58" s="922"/>
      <c r="DZ58" s="922"/>
      <c r="EA58" s="922"/>
      <c r="EB58" s="922"/>
      <c r="EC58" s="922"/>
      <c r="ED58" s="922"/>
      <c r="EE58" s="922"/>
      <c r="EF58" s="922"/>
      <c r="EG58" s="922"/>
      <c r="EH58" s="922"/>
      <c r="EI58" s="922"/>
      <c r="EJ58" s="922"/>
      <c r="EK58" s="922"/>
      <c r="EL58" s="922"/>
      <c r="EM58" s="922"/>
      <c r="EN58" s="922"/>
      <c r="EO58" s="922"/>
      <c r="EP58" s="922"/>
      <c r="EQ58" s="922"/>
      <c r="ER58" s="922"/>
      <c r="ES58" s="922"/>
      <c r="ET58" s="922"/>
      <c r="EU58" s="922"/>
      <c r="EV58" s="922"/>
      <c r="EW58" s="922"/>
    </row>
    <row r="59" spans="1:153">
      <c r="A59" s="320">
        <v>50</v>
      </c>
      <c r="B59" s="759"/>
      <c r="C59" s="759"/>
      <c r="D59" s="759"/>
      <c r="E59" s="760"/>
      <c r="F59" s="761"/>
      <c r="G59" s="761"/>
      <c r="H59" s="762"/>
      <c r="I59" s="762"/>
      <c r="J59" s="763"/>
      <c r="K59" s="763"/>
      <c r="L59" s="763"/>
      <c r="M59" s="763"/>
      <c r="N59" s="764"/>
      <c r="O59" s="761"/>
      <c r="P59" s="761"/>
      <c r="Q59" s="761"/>
      <c r="R59" s="761"/>
      <c r="S59" s="761"/>
      <c r="T59" s="761"/>
      <c r="U59" s="761"/>
      <c r="V59" s="761"/>
      <c r="W59" s="765"/>
      <c r="X59" s="766"/>
      <c r="Y59" s="766"/>
      <c r="Z59" s="766"/>
      <c r="AA59" s="766"/>
      <c r="AB59" s="766"/>
      <c r="AC59" s="766"/>
      <c r="AD59" s="920">
        <v>50</v>
      </c>
      <c r="AE59" s="922"/>
      <c r="AF59" s="922"/>
      <c r="AG59" s="922"/>
      <c r="AH59" s="922"/>
      <c r="AI59" s="922"/>
      <c r="AJ59" s="922"/>
      <c r="AK59" s="922"/>
      <c r="AL59" s="922"/>
      <c r="AM59" s="922"/>
      <c r="AN59" s="922"/>
      <c r="AO59" s="922"/>
      <c r="AP59" s="922"/>
      <c r="AQ59" s="922"/>
      <c r="AR59" s="922"/>
      <c r="AS59" s="922"/>
      <c r="AT59" s="922"/>
      <c r="AU59" s="922"/>
      <c r="AV59" s="922"/>
      <c r="AW59" s="922"/>
      <c r="AX59" s="922"/>
      <c r="AY59" s="922"/>
      <c r="AZ59" s="922"/>
      <c r="BA59" s="922"/>
      <c r="BB59" s="922"/>
      <c r="BC59" s="922"/>
      <c r="BD59" s="922"/>
      <c r="BE59" s="922"/>
      <c r="BF59" s="922"/>
      <c r="BG59" s="922"/>
      <c r="BH59" s="922"/>
      <c r="BI59" s="922"/>
      <c r="BJ59" s="922"/>
      <c r="BK59" s="922"/>
      <c r="BL59" s="922"/>
      <c r="BM59" s="922"/>
      <c r="BN59" s="922"/>
      <c r="BO59" s="922"/>
      <c r="BP59" s="922"/>
      <c r="BQ59" s="922"/>
      <c r="BR59" s="922"/>
      <c r="BS59" s="922"/>
      <c r="BT59" s="922"/>
      <c r="BU59" s="922"/>
      <c r="BV59" s="922"/>
      <c r="BW59" s="922"/>
      <c r="BX59" s="922"/>
      <c r="BY59" s="922"/>
      <c r="BZ59" s="922"/>
      <c r="CA59" s="922"/>
      <c r="CB59" s="922"/>
      <c r="CC59" s="922"/>
      <c r="CD59" s="922"/>
      <c r="CE59" s="922"/>
      <c r="CF59" s="922"/>
      <c r="CG59" s="922"/>
      <c r="CH59" s="922"/>
      <c r="CI59" s="922"/>
      <c r="CJ59" s="922"/>
      <c r="CK59" s="922"/>
      <c r="CL59" s="922"/>
      <c r="CM59" s="922"/>
      <c r="CN59" s="922"/>
      <c r="CO59" s="922"/>
      <c r="CP59" s="922"/>
      <c r="CQ59" s="922"/>
      <c r="CR59" s="922"/>
      <c r="CS59" s="922"/>
      <c r="CT59" s="922"/>
      <c r="CU59" s="922"/>
      <c r="CV59" s="922"/>
      <c r="CW59" s="922"/>
      <c r="CX59" s="922"/>
      <c r="CY59" s="922"/>
      <c r="CZ59" s="922"/>
      <c r="DA59" s="922"/>
      <c r="DB59" s="922"/>
      <c r="DC59" s="922"/>
      <c r="DD59" s="922"/>
      <c r="DE59" s="922"/>
      <c r="DF59" s="922"/>
      <c r="DG59" s="922"/>
      <c r="DH59" s="922"/>
      <c r="DI59" s="922"/>
      <c r="DJ59" s="922"/>
      <c r="DK59" s="922"/>
      <c r="DL59" s="922"/>
      <c r="DM59" s="922"/>
      <c r="DN59" s="922"/>
      <c r="DO59" s="922"/>
      <c r="DP59" s="922"/>
      <c r="DQ59" s="922"/>
      <c r="DR59" s="922"/>
      <c r="DS59" s="922"/>
      <c r="DT59" s="922"/>
      <c r="DU59" s="922"/>
      <c r="DV59" s="922"/>
      <c r="DW59" s="922"/>
      <c r="DX59" s="922"/>
      <c r="DY59" s="922"/>
      <c r="DZ59" s="922"/>
      <c r="EA59" s="922"/>
      <c r="EB59" s="922"/>
      <c r="EC59" s="922"/>
      <c r="ED59" s="922"/>
      <c r="EE59" s="922"/>
      <c r="EF59" s="922"/>
      <c r="EG59" s="922"/>
      <c r="EH59" s="922"/>
      <c r="EI59" s="922"/>
      <c r="EJ59" s="922"/>
      <c r="EK59" s="922"/>
      <c r="EL59" s="922"/>
      <c r="EM59" s="922"/>
      <c r="EN59" s="922"/>
      <c r="EO59" s="922"/>
      <c r="EP59" s="922"/>
      <c r="EQ59" s="922"/>
      <c r="ER59" s="922"/>
      <c r="ES59" s="922"/>
      <c r="ET59" s="922"/>
      <c r="EU59" s="922"/>
      <c r="EV59" s="922"/>
      <c r="EW59" s="922"/>
    </row>
    <row r="60" spans="1:153">
      <c r="A60" s="320">
        <v>51</v>
      </c>
      <c r="B60" s="759"/>
      <c r="C60" s="759"/>
      <c r="D60" s="759"/>
      <c r="E60" s="760"/>
      <c r="F60" s="761"/>
      <c r="G60" s="761"/>
      <c r="H60" s="762"/>
      <c r="I60" s="762"/>
      <c r="J60" s="763"/>
      <c r="K60" s="763"/>
      <c r="L60" s="763"/>
      <c r="M60" s="763"/>
      <c r="N60" s="764"/>
      <c r="O60" s="761"/>
      <c r="P60" s="761"/>
      <c r="Q60" s="761"/>
      <c r="R60" s="761"/>
      <c r="S60" s="761"/>
      <c r="T60" s="761"/>
      <c r="U60" s="761"/>
      <c r="V60" s="761"/>
      <c r="W60" s="765"/>
      <c r="X60" s="766"/>
      <c r="Y60" s="766"/>
      <c r="Z60" s="766"/>
      <c r="AA60" s="766"/>
      <c r="AB60" s="766"/>
      <c r="AC60" s="766"/>
      <c r="AD60" s="920">
        <v>51</v>
      </c>
      <c r="AE60" s="922"/>
      <c r="AF60" s="922"/>
      <c r="AG60" s="922"/>
      <c r="AH60" s="922"/>
      <c r="AI60" s="922"/>
      <c r="AJ60" s="922"/>
      <c r="AK60" s="922"/>
      <c r="AL60" s="922"/>
      <c r="AM60" s="922"/>
      <c r="AN60" s="922"/>
      <c r="AO60" s="922"/>
      <c r="AP60" s="922"/>
      <c r="AQ60" s="922"/>
      <c r="AR60" s="922"/>
      <c r="AS60" s="922"/>
      <c r="AT60" s="922"/>
      <c r="AU60" s="922"/>
      <c r="AV60" s="922"/>
      <c r="AW60" s="922"/>
      <c r="AX60" s="922"/>
      <c r="AY60" s="922"/>
      <c r="AZ60" s="922"/>
      <c r="BA60" s="922"/>
      <c r="BB60" s="922"/>
      <c r="BC60" s="922"/>
      <c r="BD60" s="922"/>
      <c r="BE60" s="922"/>
      <c r="BF60" s="922"/>
      <c r="BG60" s="922"/>
      <c r="BH60" s="922"/>
      <c r="BI60" s="922"/>
      <c r="BJ60" s="922"/>
      <c r="BK60" s="922"/>
      <c r="BL60" s="922"/>
      <c r="BM60" s="922"/>
      <c r="BN60" s="922"/>
      <c r="BO60" s="922"/>
      <c r="BP60" s="922"/>
      <c r="BQ60" s="922"/>
      <c r="BR60" s="922"/>
      <c r="BS60" s="922"/>
      <c r="BT60" s="922"/>
      <c r="BU60" s="922"/>
      <c r="BV60" s="922"/>
      <c r="BW60" s="922"/>
      <c r="BX60" s="922"/>
      <c r="BY60" s="922"/>
      <c r="BZ60" s="922"/>
      <c r="CA60" s="922"/>
      <c r="CB60" s="922"/>
      <c r="CC60" s="922"/>
      <c r="CD60" s="922"/>
      <c r="CE60" s="922"/>
      <c r="CF60" s="922"/>
      <c r="CG60" s="922"/>
      <c r="CH60" s="922"/>
      <c r="CI60" s="922"/>
      <c r="CJ60" s="922"/>
      <c r="CK60" s="922"/>
      <c r="CL60" s="922"/>
      <c r="CM60" s="922"/>
      <c r="CN60" s="922"/>
      <c r="CO60" s="922"/>
      <c r="CP60" s="922"/>
      <c r="CQ60" s="922"/>
      <c r="CR60" s="922"/>
      <c r="CS60" s="922"/>
      <c r="CT60" s="922"/>
      <c r="CU60" s="922"/>
      <c r="CV60" s="922"/>
      <c r="CW60" s="922"/>
      <c r="CX60" s="922"/>
      <c r="CY60" s="922"/>
      <c r="CZ60" s="922"/>
      <c r="DA60" s="922"/>
      <c r="DB60" s="922"/>
      <c r="DC60" s="922"/>
      <c r="DD60" s="922"/>
      <c r="DE60" s="922"/>
      <c r="DF60" s="922"/>
      <c r="DG60" s="922"/>
      <c r="DH60" s="922"/>
      <c r="DI60" s="922"/>
      <c r="DJ60" s="922"/>
      <c r="DK60" s="922"/>
      <c r="DL60" s="922"/>
      <c r="DM60" s="922"/>
      <c r="DN60" s="922"/>
      <c r="DO60" s="922"/>
      <c r="DP60" s="922"/>
      <c r="DQ60" s="922"/>
      <c r="DR60" s="922"/>
      <c r="DS60" s="922"/>
      <c r="DT60" s="922"/>
      <c r="DU60" s="922"/>
      <c r="DV60" s="922"/>
      <c r="DW60" s="922"/>
      <c r="DX60" s="922"/>
      <c r="DY60" s="922"/>
      <c r="DZ60" s="922"/>
      <c r="EA60" s="922"/>
      <c r="EB60" s="922"/>
      <c r="EC60" s="922"/>
      <c r="ED60" s="922"/>
      <c r="EE60" s="922"/>
      <c r="EF60" s="922"/>
      <c r="EG60" s="922"/>
      <c r="EH60" s="922"/>
      <c r="EI60" s="922"/>
      <c r="EJ60" s="922"/>
      <c r="EK60" s="922"/>
      <c r="EL60" s="922"/>
      <c r="EM60" s="922"/>
      <c r="EN60" s="922"/>
      <c r="EO60" s="922"/>
      <c r="EP60" s="922"/>
      <c r="EQ60" s="922"/>
      <c r="ER60" s="922"/>
      <c r="ES60" s="922"/>
      <c r="ET60" s="922"/>
      <c r="EU60" s="922"/>
      <c r="EV60" s="922"/>
      <c r="EW60" s="922"/>
    </row>
    <row r="61" spans="1:153">
      <c r="A61" s="320">
        <v>52</v>
      </c>
      <c r="B61" s="759"/>
      <c r="C61" s="759"/>
      <c r="D61" s="759"/>
      <c r="E61" s="760"/>
      <c r="F61" s="761"/>
      <c r="G61" s="761"/>
      <c r="H61" s="762"/>
      <c r="I61" s="762"/>
      <c r="J61" s="763"/>
      <c r="K61" s="763"/>
      <c r="L61" s="763"/>
      <c r="M61" s="763"/>
      <c r="N61" s="764"/>
      <c r="O61" s="761"/>
      <c r="P61" s="761"/>
      <c r="Q61" s="761"/>
      <c r="R61" s="761"/>
      <c r="S61" s="761"/>
      <c r="T61" s="761"/>
      <c r="U61" s="761"/>
      <c r="V61" s="761"/>
      <c r="W61" s="765"/>
      <c r="X61" s="766"/>
      <c r="Y61" s="766"/>
      <c r="Z61" s="766"/>
      <c r="AA61" s="766"/>
      <c r="AB61" s="766"/>
      <c r="AC61" s="766"/>
      <c r="AD61" s="920">
        <v>52</v>
      </c>
      <c r="AE61" s="922"/>
      <c r="AF61" s="922"/>
      <c r="AG61" s="922"/>
      <c r="AH61" s="922"/>
      <c r="AI61" s="922"/>
      <c r="AJ61" s="922"/>
      <c r="AK61" s="922"/>
      <c r="AL61" s="922"/>
      <c r="AM61" s="922"/>
      <c r="AN61" s="922"/>
      <c r="AO61" s="922"/>
      <c r="AP61" s="922"/>
      <c r="AQ61" s="922"/>
      <c r="AR61" s="922"/>
      <c r="AS61" s="922"/>
      <c r="AT61" s="922"/>
      <c r="AU61" s="922"/>
      <c r="AV61" s="922"/>
      <c r="AW61" s="922"/>
      <c r="AX61" s="922"/>
      <c r="AY61" s="922"/>
      <c r="AZ61" s="922"/>
      <c r="BA61" s="922"/>
      <c r="BB61" s="922"/>
      <c r="BC61" s="922"/>
      <c r="BD61" s="922"/>
      <c r="BE61" s="922"/>
      <c r="BF61" s="922"/>
      <c r="BG61" s="922"/>
      <c r="BH61" s="922"/>
      <c r="BI61" s="922"/>
      <c r="BJ61" s="922"/>
      <c r="BK61" s="922"/>
      <c r="BL61" s="922"/>
      <c r="BM61" s="922"/>
      <c r="BN61" s="922"/>
      <c r="BO61" s="922"/>
      <c r="BP61" s="922"/>
      <c r="BQ61" s="922"/>
      <c r="BR61" s="922"/>
      <c r="BS61" s="922"/>
      <c r="BT61" s="922"/>
      <c r="BU61" s="922"/>
      <c r="BV61" s="922"/>
      <c r="BW61" s="922"/>
      <c r="BX61" s="922"/>
      <c r="BY61" s="922"/>
      <c r="BZ61" s="922"/>
      <c r="CA61" s="922"/>
      <c r="CB61" s="922"/>
      <c r="CC61" s="922"/>
      <c r="CD61" s="922"/>
      <c r="CE61" s="922"/>
      <c r="CF61" s="922"/>
      <c r="CG61" s="922"/>
      <c r="CH61" s="922"/>
      <c r="CI61" s="922"/>
      <c r="CJ61" s="922"/>
      <c r="CK61" s="922"/>
      <c r="CL61" s="922"/>
      <c r="CM61" s="922"/>
      <c r="CN61" s="922"/>
      <c r="CO61" s="922"/>
      <c r="CP61" s="922"/>
      <c r="CQ61" s="922"/>
      <c r="CR61" s="922"/>
      <c r="CS61" s="922"/>
      <c r="CT61" s="922"/>
      <c r="CU61" s="922"/>
      <c r="CV61" s="922"/>
      <c r="CW61" s="922"/>
      <c r="CX61" s="922"/>
      <c r="CY61" s="922"/>
      <c r="CZ61" s="922"/>
      <c r="DA61" s="922"/>
      <c r="DB61" s="922"/>
      <c r="DC61" s="922"/>
      <c r="DD61" s="922"/>
      <c r="DE61" s="922"/>
      <c r="DF61" s="922"/>
      <c r="DG61" s="922"/>
      <c r="DH61" s="922"/>
      <c r="DI61" s="922"/>
      <c r="DJ61" s="922"/>
      <c r="DK61" s="922"/>
      <c r="DL61" s="922"/>
      <c r="DM61" s="922"/>
      <c r="DN61" s="922"/>
      <c r="DO61" s="922"/>
      <c r="DP61" s="922"/>
      <c r="DQ61" s="922"/>
      <c r="DR61" s="922"/>
      <c r="DS61" s="922"/>
      <c r="DT61" s="922"/>
      <c r="DU61" s="922"/>
      <c r="DV61" s="922"/>
      <c r="DW61" s="922"/>
      <c r="DX61" s="922"/>
      <c r="DY61" s="922"/>
      <c r="DZ61" s="922"/>
      <c r="EA61" s="922"/>
      <c r="EB61" s="922"/>
      <c r="EC61" s="922"/>
      <c r="ED61" s="922"/>
      <c r="EE61" s="922"/>
      <c r="EF61" s="922"/>
      <c r="EG61" s="922"/>
      <c r="EH61" s="922"/>
      <c r="EI61" s="922"/>
      <c r="EJ61" s="922"/>
      <c r="EK61" s="922"/>
      <c r="EL61" s="922"/>
      <c r="EM61" s="922"/>
      <c r="EN61" s="922"/>
      <c r="EO61" s="922"/>
      <c r="EP61" s="922"/>
      <c r="EQ61" s="922"/>
      <c r="ER61" s="922"/>
      <c r="ES61" s="922"/>
      <c r="ET61" s="922"/>
      <c r="EU61" s="922"/>
      <c r="EV61" s="922"/>
      <c r="EW61" s="922"/>
    </row>
    <row r="62" spans="1:153">
      <c r="A62" s="320">
        <v>53</v>
      </c>
      <c r="B62" s="759"/>
      <c r="C62" s="759"/>
      <c r="D62" s="759"/>
      <c r="E62" s="760"/>
      <c r="F62" s="761"/>
      <c r="G62" s="761"/>
      <c r="H62" s="762"/>
      <c r="I62" s="762"/>
      <c r="J62" s="763"/>
      <c r="K62" s="763"/>
      <c r="L62" s="763"/>
      <c r="M62" s="763"/>
      <c r="N62" s="764"/>
      <c r="O62" s="761"/>
      <c r="P62" s="761"/>
      <c r="Q62" s="761"/>
      <c r="R62" s="761"/>
      <c r="S62" s="761"/>
      <c r="T62" s="761"/>
      <c r="U62" s="761"/>
      <c r="V62" s="761"/>
      <c r="W62" s="765"/>
      <c r="X62" s="766"/>
      <c r="Y62" s="766"/>
      <c r="Z62" s="766"/>
      <c r="AA62" s="766"/>
      <c r="AB62" s="766"/>
      <c r="AC62" s="766"/>
      <c r="AD62" s="920">
        <v>53</v>
      </c>
      <c r="AE62" s="922"/>
      <c r="AF62" s="922"/>
      <c r="AG62" s="922"/>
      <c r="AH62" s="922"/>
      <c r="AI62" s="922"/>
      <c r="AJ62" s="922"/>
      <c r="AK62" s="922"/>
      <c r="AL62" s="922"/>
      <c r="AM62" s="922"/>
      <c r="AN62" s="922"/>
      <c r="AO62" s="922"/>
      <c r="AP62" s="922"/>
      <c r="AQ62" s="922"/>
      <c r="AR62" s="922"/>
      <c r="AS62" s="922"/>
      <c r="AT62" s="922"/>
      <c r="AU62" s="922"/>
      <c r="AV62" s="922"/>
      <c r="AW62" s="922"/>
      <c r="AX62" s="922"/>
      <c r="AY62" s="922"/>
      <c r="AZ62" s="922"/>
      <c r="BA62" s="922"/>
      <c r="BB62" s="922"/>
      <c r="BC62" s="922"/>
      <c r="BD62" s="922"/>
      <c r="BE62" s="922"/>
      <c r="BF62" s="922"/>
      <c r="BG62" s="922"/>
      <c r="BH62" s="922"/>
      <c r="BI62" s="922"/>
      <c r="BJ62" s="922"/>
      <c r="BK62" s="922"/>
      <c r="BL62" s="922"/>
      <c r="BM62" s="922"/>
      <c r="BN62" s="922"/>
      <c r="BO62" s="922"/>
      <c r="BP62" s="922"/>
      <c r="BQ62" s="922"/>
      <c r="BR62" s="922"/>
      <c r="BS62" s="922"/>
      <c r="BT62" s="922"/>
      <c r="BU62" s="922"/>
      <c r="BV62" s="922"/>
      <c r="BW62" s="922"/>
      <c r="BX62" s="922"/>
      <c r="BY62" s="922"/>
      <c r="BZ62" s="922"/>
      <c r="CA62" s="922"/>
      <c r="CB62" s="922"/>
      <c r="CC62" s="922"/>
      <c r="CD62" s="922"/>
      <c r="CE62" s="922"/>
      <c r="CF62" s="922"/>
      <c r="CG62" s="922"/>
      <c r="CH62" s="922"/>
      <c r="CI62" s="922"/>
      <c r="CJ62" s="922"/>
      <c r="CK62" s="922"/>
      <c r="CL62" s="922"/>
      <c r="CM62" s="922"/>
      <c r="CN62" s="922"/>
      <c r="CO62" s="922"/>
      <c r="CP62" s="922"/>
      <c r="CQ62" s="922"/>
      <c r="CR62" s="922"/>
      <c r="CS62" s="922"/>
      <c r="CT62" s="922"/>
      <c r="CU62" s="922"/>
      <c r="CV62" s="922"/>
      <c r="CW62" s="922"/>
      <c r="CX62" s="922"/>
      <c r="CY62" s="922"/>
      <c r="CZ62" s="922"/>
      <c r="DA62" s="922"/>
      <c r="DB62" s="922"/>
      <c r="DC62" s="922"/>
      <c r="DD62" s="922"/>
      <c r="DE62" s="922"/>
      <c r="DF62" s="922"/>
      <c r="DG62" s="922"/>
      <c r="DH62" s="922"/>
      <c r="DI62" s="922"/>
      <c r="DJ62" s="922"/>
      <c r="DK62" s="922"/>
      <c r="DL62" s="922"/>
      <c r="DM62" s="922"/>
      <c r="DN62" s="922"/>
      <c r="DO62" s="922"/>
      <c r="DP62" s="922"/>
      <c r="DQ62" s="922"/>
      <c r="DR62" s="922"/>
      <c r="DS62" s="922"/>
      <c r="DT62" s="922"/>
      <c r="DU62" s="922"/>
      <c r="DV62" s="922"/>
      <c r="DW62" s="922"/>
      <c r="DX62" s="922"/>
      <c r="DY62" s="922"/>
      <c r="DZ62" s="922"/>
      <c r="EA62" s="922"/>
      <c r="EB62" s="922"/>
      <c r="EC62" s="922"/>
      <c r="ED62" s="922"/>
      <c r="EE62" s="922"/>
      <c r="EF62" s="922"/>
      <c r="EG62" s="922"/>
      <c r="EH62" s="922"/>
      <c r="EI62" s="922"/>
      <c r="EJ62" s="922"/>
      <c r="EK62" s="922"/>
      <c r="EL62" s="922"/>
      <c r="EM62" s="922"/>
      <c r="EN62" s="922"/>
      <c r="EO62" s="922"/>
      <c r="EP62" s="922"/>
      <c r="EQ62" s="922"/>
      <c r="ER62" s="922"/>
      <c r="ES62" s="922"/>
      <c r="ET62" s="922"/>
      <c r="EU62" s="922"/>
      <c r="EV62" s="922"/>
      <c r="EW62" s="922"/>
    </row>
    <row r="63" spans="1:153">
      <c r="A63" s="320">
        <v>54</v>
      </c>
      <c r="B63" s="759"/>
      <c r="C63" s="759"/>
      <c r="D63" s="759"/>
      <c r="E63" s="760"/>
      <c r="F63" s="761"/>
      <c r="G63" s="761"/>
      <c r="H63" s="762"/>
      <c r="I63" s="762"/>
      <c r="J63" s="763"/>
      <c r="K63" s="763"/>
      <c r="L63" s="763"/>
      <c r="M63" s="763"/>
      <c r="N63" s="764"/>
      <c r="O63" s="761"/>
      <c r="P63" s="761"/>
      <c r="Q63" s="761"/>
      <c r="R63" s="761"/>
      <c r="S63" s="761"/>
      <c r="T63" s="761"/>
      <c r="U63" s="761"/>
      <c r="V63" s="761"/>
      <c r="W63" s="765"/>
      <c r="X63" s="766"/>
      <c r="Y63" s="766"/>
      <c r="Z63" s="766"/>
      <c r="AA63" s="766"/>
      <c r="AB63" s="766"/>
      <c r="AC63" s="766"/>
      <c r="AD63" s="920">
        <v>54</v>
      </c>
      <c r="AE63" s="922"/>
      <c r="AF63" s="922"/>
      <c r="AG63" s="922"/>
      <c r="AH63" s="922"/>
      <c r="AI63" s="922"/>
      <c r="AJ63" s="922"/>
      <c r="AK63" s="922"/>
      <c r="AL63" s="922"/>
      <c r="AM63" s="922"/>
      <c r="AN63" s="922"/>
      <c r="AO63" s="922"/>
      <c r="AP63" s="922"/>
      <c r="AQ63" s="922"/>
      <c r="AR63" s="922"/>
      <c r="AS63" s="922"/>
      <c r="AT63" s="922"/>
      <c r="AU63" s="922"/>
      <c r="AV63" s="922"/>
      <c r="AW63" s="922"/>
      <c r="AX63" s="922"/>
      <c r="AY63" s="922"/>
      <c r="AZ63" s="922"/>
      <c r="BA63" s="922"/>
      <c r="BB63" s="922"/>
      <c r="BC63" s="922"/>
      <c r="BD63" s="922"/>
      <c r="BE63" s="922"/>
      <c r="BF63" s="922"/>
      <c r="BG63" s="922"/>
      <c r="BH63" s="922"/>
      <c r="BI63" s="922"/>
      <c r="BJ63" s="922"/>
      <c r="BK63" s="922"/>
      <c r="BL63" s="922"/>
      <c r="BM63" s="922"/>
      <c r="BN63" s="922"/>
      <c r="BO63" s="922"/>
      <c r="BP63" s="922"/>
      <c r="BQ63" s="922"/>
      <c r="BR63" s="922"/>
      <c r="BS63" s="922"/>
      <c r="BT63" s="922"/>
      <c r="BU63" s="922"/>
      <c r="BV63" s="922"/>
      <c r="BW63" s="922"/>
      <c r="BX63" s="922"/>
      <c r="BY63" s="922"/>
      <c r="BZ63" s="922"/>
      <c r="CA63" s="922"/>
      <c r="CB63" s="922"/>
      <c r="CC63" s="922"/>
      <c r="CD63" s="922"/>
      <c r="CE63" s="922"/>
      <c r="CF63" s="922"/>
      <c r="CG63" s="922"/>
      <c r="CH63" s="922"/>
      <c r="CI63" s="922"/>
      <c r="CJ63" s="922"/>
      <c r="CK63" s="922"/>
      <c r="CL63" s="922"/>
      <c r="CM63" s="922"/>
      <c r="CN63" s="922"/>
      <c r="CO63" s="922"/>
      <c r="CP63" s="922"/>
      <c r="CQ63" s="922"/>
      <c r="CR63" s="922"/>
      <c r="CS63" s="922"/>
      <c r="CT63" s="922"/>
      <c r="CU63" s="922"/>
      <c r="CV63" s="922"/>
      <c r="CW63" s="922"/>
      <c r="CX63" s="922"/>
      <c r="CY63" s="922"/>
      <c r="CZ63" s="922"/>
      <c r="DA63" s="922"/>
      <c r="DB63" s="922"/>
      <c r="DC63" s="922"/>
      <c r="DD63" s="922"/>
      <c r="DE63" s="922"/>
      <c r="DF63" s="922"/>
      <c r="DG63" s="922"/>
      <c r="DH63" s="922"/>
      <c r="DI63" s="922"/>
      <c r="DJ63" s="922"/>
      <c r="DK63" s="922"/>
      <c r="DL63" s="922"/>
      <c r="DM63" s="922"/>
      <c r="DN63" s="922"/>
      <c r="DO63" s="922"/>
      <c r="DP63" s="922"/>
      <c r="DQ63" s="922"/>
      <c r="DR63" s="922"/>
      <c r="DS63" s="922"/>
      <c r="DT63" s="922"/>
      <c r="DU63" s="922"/>
      <c r="DV63" s="922"/>
      <c r="DW63" s="922"/>
      <c r="DX63" s="922"/>
      <c r="DY63" s="922"/>
      <c r="DZ63" s="922"/>
      <c r="EA63" s="922"/>
      <c r="EB63" s="922"/>
      <c r="EC63" s="922"/>
      <c r="ED63" s="922"/>
      <c r="EE63" s="922"/>
      <c r="EF63" s="922"/>
      <c r="EG63" s="922"/>
      <c r="EH63" s="922"/>
      <c r="EI63" s="922"/>
      <c r="EJ63" s="922"/>
      <c r="EK63" s="922"/>
      <c r="EL63" s="922"/>
      <c r="EM63" s="922"/>
      <c r="EN63" s="922"/>
      <c r="EO63" s="922"/>
      <c r="EP63" s="922"/>
      <c r="EQ63" s="922"/>
      <c r="ER63" s="922"/>
      <c r="ES63" s="922"/>
      <c r="ET63" s="922"/>
      <c r="EU63" s="922"/>
      <c r="EV63" s="922"/>
      <c r="EW63" s="922"/>
    </row>
    <row r="64" spans="1:153">
      <c r="A64" s="320">
        <v>55</v>
      </c>
      <c r="B64" s="759"/>
      <c r="C64" s="759"/>
      <c r="D64" s="759"/>
      <c r="E64" s="760"/>
      <c r="F64" s="761"/>
      <c r="G64" s="761"/>
      <c r="H64" s="762"/>
      <c r="I64" s="762"/>
      <c r="J64" s="763"/>
      <c r="K64" s="763"/>
      <c r="L64" s="763"/>
      <c r="M64" s="763"/>
      <c r="N64" s="764"/>
      <c r="O64" s="761"/>
      <c r="P64" s="761"/>
      <c r="Q64" s="761"/>
      <c r="R64" s="761"/>
      <c r="S64" s="761"/>
      <c r="T64" s="761"/>
      <c r="U64" s="761"/>
      <c r="V64" s="761"/>
      <c r="W64" s="765"/>
      <c r="X64" s="766"/>
      <c r="Y64" s="766"/>
      <c r="Z64" s="766"/>
      <c r="AA64" s="766"/>
      <c r="AB64" s="766"/>
      <c r="AC64" s="766"/>
      <c r="AD64" s="920">
        <v>55</v>
      </c>
      <c r="AE64" s="922"/>
      <c r="AF64" s="922"/>
      <c r="AG64" s="922"/>
      <c r="AH64" s="922"/>
      <c r="AI64" s="922"/>
      <c r="AJ64" s="922"/>
      <c r="AK64" s="922"/>
      <c r="AL64" s="922"/>
      <c r="AM64" s="922"/>
      <c r="AN64" s="922"/>
      <c r="AO64" s="922"/>
      <c r="AP64" s="922"/>
      <c r="AQ64" s="922"/>
      <c r="AR64" s="922"/>
      <c r="AS64" s="922"/>
      <c r="AT64" s="922"/>
      <c r="AU64" s="922"/>
      <c r="AV64" s="922"/>
      <c r="AW64" s="922"/>
      <c r="AX64" s="922"/>
      <c r="AY64" s="922"/>
      <c r="AZ64" s="922"/>
      <c r="BA64" s="922"/>
      <c r="BB64" s="922"/>
      <c r="BC64" s="922"/>
      <c r="BD64" s="922"/>
      <c r="BE64" s="922"/>
      <c r="BF64" s="922"/>
      <c r="BG64" s="922"/>
      <c r="BH64" s="922"/>
      <c r="BI64" s="922"/>
      <c r="BJ64" s="922"/>
      <c r="BK64" s="922"/>
      <c r="BL64" s="922"/>
      <c r="BM64" s="922"/>
      <c r="BN64" s="922"/>
      <c r="BO64" s="922"/>
      <c r="BP64" s="922"/>
      <c r="BQ64" s="922"/>
      <c r="BR64" s="922"/>
      <c r="BS64" s="922"/>
      <c r="BT64" s="922"/>
      <c r="BU64" s="922"/>
      <c r="BV64" s="922"/>
      <c r="BW64" s="922"/>
      <c r="BX64" s="922"/>
      <c r="BY64" s="922"/>
      <c r="BZ64" s="922"/>
      <c r="CA64" s="922"/>
      <c r="CB64" s="922"/>
      <c r="CC64" s="922"/>
      <c r="CD64" s="922"/>
      <c r="CE64" s="922"/>
      <c r="CF64" s="922"/>
      <c r="CG64" s="922"/>
      <c r="CH64" s="922"/>
      <c r="CI64" s="922"/>
      <c r="CJ64" s="922"/>
      <c r="CK64" s="922"/>
      <c r="CL64" s="922"/>
      <c r="CM64" s="922"/>
      <c r="CN64" s="922"/>
      <c r="CO64" s="922"/>
      <c r="CP64" s="922"/>
      <c r="CQ64" s="922"/>
      <c r="CR64" s="922"/>
      <c r="CS64" s="922"/>
      <c r="CT64" s="922"/>
      <c r="CU64" s="922"/>
      <c r="CV64" s="922"/>
      <c r="CW64" s="922"/>
      <c r="CX64" s="922"/>
      <c r="CY64" s="922"/>
      <c r="CZ64" s="922"/>
      <c r="DA64" s="922"/>
      <c r="DB64" s="922"/>
      <c r="DC64" s="922"/>
      <c r="DD64" s="922"/>
      <c r="DE64" s="922"/>
      <c r="DF64" s="922"/>
      <c r="DG64" s="922"/>
      <c r="DH64" s="922"/>
      <c r="DI64" s="922"/>
      <c r="DJ64" s="922"/>
      <c r="DK64" s="922"/>
      <c r="DL64" s="922"/>
      <c r="DM64" s="922"/>
      <c r="DN64" s="922"/>
      <c r="DO64" s="922"/>
      <c r="DP64" s="922"/>
      <c r="DQ64" s="922"/>
      <c r="DR64" s="922"/>
      <c r="DS64" s="922"/>
      <c r="DT64" s="922"/>
      <c r="DU64" s="922"/>
      <c r="DV64" s="922"/>
      <c r="DW64" s="922"/>
      <c r="DX64" s="922"/>
      <c r="DY64" s="922"/>
      <c r="DZ64" s="922"/>
      <c r="EA64" s="922"/>
      <c r="EB64" s="922"/>
      <c r="EC64" s="922"/>
      <c r="ED64" s="922"/>
      <c r="EE64" s="922"/>
      <c r="EF64" s="922"/>
      <c r="EG64" s="922"/>
      <c r="EH64" s="922"/>
      <c r="EI64" s="922"/>
      <c r="EJ64" s="922"/>
      <c r="EK64" s="922"/>
      <c r="EL64" s="922"/>
      <c r="EM64" s="922"/>
      <c r="EN64" s="922"/>
      <c r="EO64" s="922"/>
      <c r="EP64" s="922"/>
      <c r="EQ64" s="922"/>
      <c r="ER64" s="922"/>
      <c r="ES64" s="922"/>
      <c r="ET64" s="922"/>
      <c r="EU64" s="922"/>
      <c r="EV64" s="922"/>
      <c r="EW64" s="922"/>
    </row>
    <row r="65" spans="1:153">
      <c r="A65" s="320">
        <v>56</v>
      </c>
      <c r="B65" s="759"/>
      <c r="C65" s="759"/>
      <c r="D65" s="759"/>
      <c r="E65" s="760"/>
      <c r="F65" s="761"/>
      <c r="G65" s="761"/>
      <c r="H65" s="762"/>
      <c r="I65" s="762"/>
      <c r="J65" s="763"/>
      <c r="K65" s="763"/>
      <c r="L65" s="763"/>
      <c r="M65" s="763"/>
      <c r="N65" s="764"/>
      <c r="O65" s="761"/>
      <c r="P65" s="761"/>
      <c r="Q65" s="761"/>
      <c r="R65" s="761"/>
      <c r="S65" s="761"/>
      <c r="T65" s="761"/>
      <c r="U65" s="761"/>
      <c r="V65" s="761"/>
      <c r="W65" s="765"/>
      <c r="X65" s="766"/>
      <c r="Y65" s="766"/>
      <c r="Z65" s="766"/>
      <c r="AA65" s="766"/>
      <c r="AB65" s="766"/>
      <c r="AC65" s="766"/>
      <c r="AD65" s="920">
        <v>56</v>
      </c>
      <c r="AE65" s="922"/>
      <c r="AF65" s="922"/>
      <c r="AG65" s="922"/>
      <c r="AH65" s="922"/>
      <c r="AI65" s="922"/>
      <c r="AJ65" s="922"/>
      <c r="AK65" s="922"/>
      <c r="AL65" s="922"/>
      <c r="AM65" s="922"/>
      <c r="AN65" s="922"/>
      <c r="AO65" s="922"/>
      <c r="AP65" s="922"/>
      <c r="AQ65" s="922"/>
      <c r="AR65" s="922"/>
      <c r="AS65" s="922"/>
      <c r="AT65" s="922"/>
      <c r="AU65" s="922"/>
      <c r="AV65" s="922"/>
      <c r="AW65" s="922"/>
      <c r="AX65" s="922"/>
      <c r="AY65" s="922"/>
      <c r="AZ65" s="922"/>
      <c r="BA65" s="922"/>
      <c r="BB65" s="922"/>
      <c r="BC65" s="922"/>
      <c r="BD65" s="922"/>
      <c r="BE65" s="922"/>
      <c r="BF65" s="922"/>
      <c r="BG65" s="922"/>
      <c r="BH65" s="922"/>
      <c r="BI65" s="922"/>
      <c r="BJ65" s="922"/>
      <c r="BK65" s="922"/>
      <c r="BL65" s="922"/>
      <c r="BM65" s="922"/>
      <c r="BN65" s="922"/>
      <c r="BO65" s="922"/>
      <c r="BP65" s="922"/>
      <c r="BQ65" s="922"/>
      <c r="BR65" s="922"/>
      <c r="BS65" s="922"/>
      <c r="BT65" s="922"/>
      <c r="BU65" s="922"/>
      <c r="BV65" s="922"/>
      <c r="BW65" s="922"/>
      <c r="BX65" s="922"/>
      <c r="BY65" s="922"/>
      <c r="BZ65" s="922"/>
      <c r="CA65" s="922"/>
      <c r="CB65" s="922"/>
      <c r="CC65" s="922"/>
      <c r="CD65" s="922"/>
      <c r="CE65" s="922"/>
      <c r="CF65" s="922"/>
      <c r="CG65" s="922"/>
      <c r="CH65" s="922"/>
      <c r="CI65" s="922"/>
      <c r="CJ65" s="922"/>
      <c r="CK65" s="922"/>
      <c r="CL65" s="922"/>
      <c r="CM65" s="922"/>
      <c r="CN65" s="922"/>
      <c r="CO65" s="922"/>
      <c r="CP65" s="922"/>
      <c r="CQ65" s="922"/>
      <c r="CR65" s="922"/>
      <c r="CS65" s="922"/>
      <c r="CT65" s="922"/>
      <c r="CU65" s="922"/>
      <c r="CV65" s="922"/>
      <c r="CW65" s="922"/>
      <c r="CX65" s="922"/>
      <c r="CY65" s="922"/>
      <c r="CZ65" s="922"/>
      <c r="DA65" s="922"/>
      <c r="DB65" s="922"/>
      <c r="DC65" s="922"/>
      <c r="DD65" s="922"/>
      <c r="DE65" s="922"/>
      <c r="DF65" s="922"/>
      <c r="DG65" s="922"/>
      <c r="DH65" s="922"/>
      <c r="DI65" s="922"/>
      <c r="DJ65" s="922"/>
      <c r="DK65" s="922"/>
      <c r="DL65" s="922"/>
      <c r="DM65" s="922"/>
      <c r="DN65" s="922"/>
      <c r="DO65" s="922"/>
      <c r="DP65" s="922"/>
      <c r="DQ65" s="922"/>
      <c r="DR65" s="922"/>
      <c r="DS65" s="922"/>
      <c r="DT65" s="922"/>
      <c r="DU65" s="922"/>
      <c r="DV65" s="922"/>
      <c r="DW65" s="922"/>
      <c r="DX65" s="922"/>
      <c r="DY65" s="922"/>
      <c r="DZ65" s="922"/>
      <c r="EA65" s="922"/>
      <c r="EB65" s="922"/>
      <c r="EC65" s="922"/>
      <c r="ED65" s="922"/>
      <c r="EE65" s="922"/>
      <c r="EF65" s="922"/>
      <c r="EG65" s="922"/>
      <c r="EH65" s="922"/>
      <c r="EI65" s="922"/>
      <c r="EJ65" s="922"/>
      <c r="EK65" s="922"/>
      <c r="EL65" s="922"/>
      <c r="EM65" s="922"/>
      <c r="EN65" s="922"/>
      <c r="EO65" s="922"/>
      <c r="EP65" s="922"/>
      <c r="EQ65" s="922"/>
      <c r="ER65" s="922"/>
      <c r="ES65" s="922"/>
      <c r="ET65" s="922"/>
      <c r="EU65" s="922"/>
      <c r="EV65" s="922"/>
      <c r="EW65" s="922"/>
    </row>
    <row r="66" spans="1:153">
      <c r="A66" s="320">
        <v>57</v>
      </c>
      <c r="B66" s="759"/>
      <c r="C66" s="759"/>
      <c r="D66" s="759"/>
      <c r="E66" s="760"/>
      <c r="F66" s="761"/>
      <c r="G66" s="761"/>
      <c r="H66" s="762"/>
      <c r="I66" s="762"/>
      <c r="J66" s="763"/>
      <c r="K66" s="763"/>
      <c r="L66" s="763"/>
      <c r="M66" s="763"/>
      <c r="N66" s="764"/>
      <c r="O66" s="761"/>
      <c r="P66" s="761"/>
      <c r="Q66" s="761"/>
      <c r="R66" s="761"/>
      <c r="S66" s="761"/>
      <c r="T66" s="761"/>
      <c r="U66" s="761"/>
      <c r="V66" s="761"/>
      <c r="W66" s="765"/>
      <c r="X66" s="766"/>
      <c r="Y66" s="766"/>
      <c r="Z66" s="766"/>
      <c r="AA66" s="766"/>
      <c r="AB66" s="766"/>
      <c r="AC66" s="766"/>
      <c r="AD66" s="920">
        <v>57</v>
      </c>
      <c r="AE66" s="922"/>
      <c r="AF66" s="922"/>
      <c r="AG66" s="922"/>
      <c r="AH66" s="922"/>
      <c r="AI66" s="922"/>
      <c r="AJ66" s="922"/>
      <c r="AK66" s="922"/>
      <c r="AL66" s="922"/>
      <c r="AM66" s="922"/>
      <c r="AN66" s="922"/>
      <c r="AO66" s="922"/>
      <c r="AP66" s="922"/>
      <c r="AQ66" s="922"/>
      <c r="AR66" s="922"/>
      <c r="AS66" s="922"/>
      <c r="AT66" s="922"/>
      <c r="AU66" s="922"/>
      <c r="AV66" s="922"/>
      <c r="AW66" s="922"/>
      <c r="AX66" s="922"/>
      <c r="AY66" s="922"/>
      <c r="AZ66" s="922"/>
      <c r="BA66" s="922"/>
      <c r="BB66" s="922"/>
      <c r="BC66" s="922"/>
      <c r="BD66" s="922"/>
      <c r="BE66" s="922"/>
      <c r="BF66" s="922"/>
      <c r="BG66" s="922"/>
      <c r="BH66" s="922"/>
      <c r="BI66" s="922"/>
      <c r="BJ66" s="922"/>
      <c r="BK66" s="922"/>
      <c r="BL66" s="922"/>
      <c r="BM66" s="922"/>
      <c r="BN66" s="922"/>
      <c r="BO66" s="922"/>
      <c r="BP66" s="922"/>
      <c r="BQ66" s="922"/>
      <c r="BR66" s="922"/>
      <c r="BS66" s="922"/>
      <c r="BT66" s="922"/>
      <c r="BU66" s="922"/>
      <c r="BV66" s="922"/>
      <c r="BW66" s="922"/>
      <c r="BX66" s="922"/>
      <c r="BY66" s="922"/>
      <c r="BZ66" s="922"/>
      <c r="CA66" s="922"/>
      <c r="CB66" s="922"/>
      <c r="CC66" s="922"/>
      <c r="CD66" s="922"/>
      <c r="CE66" s="922"/>
      <c r="CF66" s="922"/>
      <c r="CG66" s="922"/>
      <c r="CH66" s="922"/>
      <c r="CI66" s="922"/>
      <c r="CJ66" s="922"/>
      <c r="CK66" s="922"/>
      <c r="CL66" s="922"/>
      <c r="CM66" s="922"/>
      <c r="CN66" s="922"/>
      <c r="CO66" s="922"/>
      <c r="CP66" s="922"/>
      <c r="CQ66" s="922"/>
      <c r="CR66" s="922"/>
      <c r="CS66" s="922"/>
      <c r="CT66" s="922"/>
      <c r="CU66" s="922"/>
      <c r="CV66" s="922"/>
      <c r="CW66" s="922"/>
      <c r="CX66" s="922"/>
      <c r="CY66" s="922"/>
      <c r="CZ66" s="922"/>
      <c r="DA66" s="922"/>
      <c r="DB66" s="922"/>
      <c r="DC66" s="922"/>
      <c r="DD66" s="922"/>
      <c r="DE66" s="922"/>
      <c r="DF66" s="922"/>
      <c r="DG66" s="922"/>
      <c r="DH66" s="922"/>
      <c r="DI66" s="922"/>
      <c r="DJ66" s="922"/>
      <c r="DK66" s="922"/>
      <c r="DL66" s="922"/>
      <c r="DM66" s="922"/>
      <c r="DN66" s="922"/>
      <c r="DO66" s="922"/>
      <c r="DP66" s="922"/>
      <c r="DQ66" s="922"/>
      <c r="DR66" s="922"/>
      <c r="DS66" s="922"/>
      <c r="DT66" s="922"/>
      <c r="DU66" s="922"/>
      <c r="DV66" s="922"/>
      <c r="DW66" s="922"/>
      <c r="DX66" s="922"/>
      <c r="DY66" s="922"/>
      <c r="DZ66" s="922"/>
      <c r="EA66" s="922"/>
      <c r="EB66" s="922"/>
      <c r="EC66" s="922"/>
      <c r="ED66" s="922"/>
      <c r="EE66" s="922"/>
      <c r="EF66" s="922"/>
      <c r="EG66" s="922"/>
      <c r="EH66" s="922"/>
      <c r="EI66" s="922"/>
      <c r="EJ66" s="922"/>
      <c r="EK66" s="922"/>
      <c r="EL66" s="922"/>
      <c r="EM66" s="922"/>
      <c r="EN66" s="922"/>
      <c r="EO66" s="922"/>
      <c r="EP66" s="922"/>
      <c r="EQ66" s="922"/>
      <c r="ER66" s="922"/>
      <c r="ES66" s="922"/>
      <c r="ET66" s="922"/>
      <c r="EU66" s="922"/>
      <c r="EV66" s="922"/>
      <c r="EW66" s="922"/>
    </row>
    <row r="67" spans="1:153">
      <c r="A67" s="320">
        <v>58</v>
      </c>
      <c r="B67" s="759"/>
      <c r="C67" s="759"/>
      <c r="D67" s="759"/>
      <c r="E67" s="760"/>
      <c r="F67" s="761"/>
      <c r="G67" s="761"/>
      <c r="H67" s="762"/>
      <c r="I67" s="762"/>
      <c r="J67" s="763"/>
      <c r="K67" s="763"/>
      <c r="L67" s="763"/>
      <c r="M67" s="763"/>
      <c r="N67" s="764"/>
      <c r="O67" s="761"/>
      <c r="P67" s="761"/>
      <c r="Q67" s="761"/>
      <c r="R67" s="761"/>
      <c r="S67" s="761"/>
      <c r="T67" s="761"/>
      <c r="U67" s="761"/>
      <c r="V67" s="761"/>
      <c r="W67" s="765"/>
      <c r="X67" s="766"/>
      <c r="Y67" s="766"/>
      <c r="Z67" s="766"/>
      <c r="AA67" s="766"/>
      <c r="AB67" s="766"/>
      <c r="AC67" s="766"/>
      <c r="AD67" s="920">
        <v>58</v>
      </c>
      <c r="AE67" s="922"/>
      <c r="AF67" s="922"/>
      <c r="AG67" s="922"/>
      <c r="AH67" s="922"/>
      <c r="AI67" s="922"/>
      <c r="AJ67" s="922"/>
      <c r="AK67" s="922"/>
      <c r="AL67" s="922"/>
      <c r="AM67" s="922"/>
      <c r="AN67" s="922"/>
      <c r="AO67" s="922"/>
      <c r="AP67" s="922"/>
      <c r="AQ67" s="922"/>
      <c r="AR67" s="922"/>
      <c r="AS67" s="922"/>
      <c r="AT67" s="922"/>
      <c r="AU67" s="922"/>
      <c r="AV67" s="922"/>
      <c r="AW67" s="922"/>
      <c r="AX67" s="922"/>
      <c r="AY67" s="922"/>
      <c r="AZ67" s="922"/>
      <c r="BA67" s="922"/>
      <c r="BB67" s="922"/>
      <c r="BC67" s="922"/>
      <c r="BD67" s="922"/>
      <c r="BE67" s="922"/>
      <c r="BF67" s="922"/>
      <c r="BG67" s="922"/>
      <c r="BH67" s="922"/>
      <c r="BI67" s="922"/>
      <c r="BJ67" s="922"/>
      <c r="BK67" s="922"/>
      <c r="BL67" s="922"/>
      <c r="BM67" s="922"/>
      <c r="BN67" s="922"/>
      <c r="BO67" s="922"/>
      <c r="BP67" s="922"/>
      <c r="BQ67" s="922"/>
      <c r="BR67" s="922"/>
      <c r="BS67" s="922"/>
      <c r="BT67" s="922"/>
      <c r="BU67" s="922"/>
      <c r="BV67" s="922"/>
      <c r="BW67" s="922"/>
      <c r="BX67" s="922"/>
      <c r="BY67" s="922"/>
      <c r="BZ67" s="922"/>
      <c r="CA67" s="922"/>
      <c r="CB67" s="922"/>
      <c r="CC67" s="922"/>
      <c r="CD67" s="922"/>
      <c r="CE67" s="922"/>
      <c r="CF67" s="922"/>
      <c r="CG67" s="922"/>
      <c r="CH67" s="922"/>
      <c r="CI67" s="922"/>
      <c r="CJ67" s="922"/>
      <c r="CK67" s="922"/>
      <c r="CL67" s="922"/>
      <c r="CM67" s="922"/>
      <c r="CN67" s="922"/>
      <c r="CO67" s="922"/>
      <c r="CP67" s="922"/>
      <c r="CQ67" s="922"/>
      <c r="CR67" s="922"/>
      <c r="CS67" s="922"/>
      <c r="CT67" s="922"/>
      <c r="CU67" s="922"/>
      <c r="CV67" s="922"/>
      <c r="CW67" s="922"/>
      <c r="CX67" s="922"/>
      <c r="CY67" s="922"/>
      <c r="CZ67" s="922"/>
      <c r="DA67" s="922"/>
      <c r="DB67" s="922"/>
      <c r="DC67" s="922"/>
      <c r="DD67" s="922"/>
      <c r="DE67" s="922"/>
      <c r="DF67" s="922"/>
      <c r="DG67" s="922"/>
      <c r="DH67" s="922"/>
      <c r="DI67" s="922"/>
      <c r="DJ67" s="922"/>
      <c r="DK67" s="922"/>
      <c r="DL67" s="922"/>
      <c r="DM67" s="922"/>
      <c r="DN67" s="922"/>
      <c r="DO67" s="922"/>
      <c r="DP67" s="922"/>
      <c r="DQ67" s="922"/>
      <c r="DR67" s="922"/>
      <c r="DS67" s="922"/>
      <c r="DT67" s="922"/>
      <c r="DU67" s="922"/>
      <c r="DV67" s="922"/>
      <c r="DW67" s="922"/>
      <c r="DX67" s="922"/>
      <c r="DY67" s="922"/>
      <c r="DZ67" s="922"/>
      <c r="EA67" s="922"/>
      <c r="EB67" s="922"/>
      <c r="EC67" s="922"/>
      <c r="ED67" s="922"/>
      <c r="EE67" s="922"/>
      <c r="EF67" s="922"/>
      <c r="EG67" s="922"/>
      <c r="EH67" s="922"/>
      <c r="EI67" s="922"/>
      <c r="EJ67" s="922"/>
      <c r="EK67" s="922"/>
      <c r="EL67" s="922"/>
      <c r="EM67" s="922"/>
      <c r="EN67" s="922"/>
      <c r="EO67" s="922"/>
      <c r="EP67" s="922"/>
      <c r="EQ67" s="922"/>
      <c r="ER67" s="922"/>
      <c r="ES67" s="922"/>
      <c r="ET67" s="922"/>
      <c r="EU67" s="922"/>
      <c r="EV67" s="922"/>
      <c r="EW67" s="922"/>
    </row>
    <row r="68" spans="1:153">
      <c r="A68" s="320">
        <v>59</v>
      </c>
      <c r="B68" s="759"/>
      <c r="C68" s="759"/>
      <c r="D68" s="759"/>
      <c r="E68" s="760"/>
      <c r="F68" s="761"/>
      <c r="G68" s="761"/>
      <c r="H68" s="762"/>
      <c r="I68" s="762"/>
      <c r="J68" s="763"/>
      <c r="K68" s="763"/>
      <c r="L68" s="763"/>
      <c r="M68" s="763"/>
      <c r="N68" s="764"/>
      <c r="O68" s="761"/>
      <c r="P68" s="761"/>
      <c r="Q68" s="761"/>
      <c r="R68" s="761"/>
      <c r="S68" s="761"/>
      <c r="T68" s="761"/>
      <c r="U68" s="761"/>
      <c r="V68" s="761"/>
      <c r="W68" s="765"/>
      <c r="X68" s="766"/>
      <c r="Y68" s="766"/>
      <c r="Z68" s="766"/>
      <c r="AA68" s="766"/>
      <c r="AB68" s="766"/>
      <c r="AC68" s="766"/>
      <c r="AD68" s="920">
        <v>59</v>
      </c>
      <c r="AE68" s="922"/>
      <c r="AF68" s="922"/>
      <c r="AG68" s="922"/>
      <c r="AH68" s="922"/>
      <c r="AI68" s="922"/>
      <c r="AJ68" s="922"/>
      <c r="AK68" s="922"/>
      <c r="AL68" s="922"/>
      <c r="AM68" s="922"/>
      <c r="AN68" s="922"/>
      <c r="AO68" s="922"/>
      <c r="AP68" s="922"/>
      <c r="AQ68" s="922"/>
      <c r="AR68" s="922"/>
      <c r="AS68" s="922"/>
      <c r="AT68" s="922"/>
      <c r="AU68" s="922"/>
      <c r="AV68" s="922"/>
      <c r="AW68" s="922"/>
      <c r="AX68" s="922"/>
      <c r="AY68" s="922"/>
      <c r="AZ68" s="922"/>
      <c r="BA68" s="922"/>
      <c r="BB68" s="922"/>
      <c r="BC68" s="922"/>
      <c r="BD68" s="922"/>
      <c r="BE68" s="922"/>
      <c r="BF68" s="922"/>
      <c r="BG68" s="922"/>
      <c r="BH68" s="922"/>
      <c r="BI68" s="922"/>
      <c r="BJ68" s="922"/>
      <c r="BK68" s="922"/>
      <c r="BL68" s="922"/>
      <c r="BM68" s="922"/>
      <c r="BN68" s="922"/>
      <c r="BO68" s="922"/>
      <c r="BP68" s="922"/>
      <c r="BQ68" s="922"/>
      <c r="BR68" s="922"/>
      <c r="BS68" s="922"/>
      <c r="BT68" s="922"/>
      <c r="BU68" s="922"/>
      <c r="BV68" s="922"/>
      <c r="BW68" s="922"/>
      <c r="BX68" s="922"/>
      <c r="BY68" s="922"/>
      <c r="BZ68" s="922"/>
      <c r="CA68" s="922"/>
      <c r="CB68" s="922"/>
      <c r="CC68" s="922"/>
      <c r="CD68" s="922"/>
      <c r="CE68" s="922"/>
      <c r="CF68" s="922"/>
      <c r="CG68" s="922"/>
      <c r="CH68" s="922"/>
      <c r="CI68" s="922"/>
      <c r="CJ68" s="922"/>
      <c r="CK68" s="922"/>
      <c r="CL68" s="922"/>
      <c r="CM68" s="922"/>
      <c r="CN68" s="922"/>
      <c r="CO68" s="922"/>
      <c r="CP68" s="922"/>
      <c r="CQ68" s="922"/>
      <c r="CR68" s="922"/>
      <c r="CS68" s="922"/>
      <c r="CT68" s="922"/>
      <c r="CU68" s="922"/>
      <c r="CV68" s="922"/>
      <c r="CW68" s="922"/>
      <c r="CX68" s="922"/>
      <c r="CY68" s="922"/>
      <c r="CZ68" s="922"/>
      <c r="DA68" s="922"/>
      <c r="DB68" s="922"/>
      <c r="DC68" s="922"/>
      <c r="DD68" s="922"/>
      <c r="DE68" s="922"/>
      <c r="DF68" s="922"/>
      <c r="DG68" s="922"/>
      <c r="DH68" s="922"/>
      <c r="DI68" s="922"/>
      <c r="DJ68" s="922"/>
      <c r="DK68" s="922"/>
      <c r="DL68" s="922"/>
      <c r="DM68" s="922"/>
      <c r="DN68" s="922"/>
      <c r="DO68" s="922"/>
      <c r="DP68" s="922"/>
      <c r="DQ68" s="922"/>
      <c r="DR68" s="922"/>
      <c r="DS68" s="922"/>
      <c r="DT68" s="922"/>
      <c r="DU68" s="922"/>
      <c r="DV68" s="922"/>
      <c r="DW68" s="922"/>
      <c r="DX68" s="922"/>
      <c r="DY68" s="922"/>
      <c r="DZ68" s="922"/>
      <c r="EA68" s="922"/>
      <c r="EB68" s="922"/>
      <c r="EC68" s="922"/>
      <c r="ED68" s="922"/>
      <c r="EE68" s="922"/>
      <c r="EF68" s="922"/>
      <c r="EG68" s="922"/>
      <c r="EH68" s="922"/>
      <c r="EI68" s="922"/>
      <c r="EJ68" s="922"/>
      <c r="EK68" s="922"/>
      <c r="EL68" s="922"/>
      <c r="EM68" s="922"/>
      <c r="EN68" s="922"/>
      <c r="EO68" s="922"/>
      <c r="EP68" s="922"/>
      <c r="EQ68" s="922"/>
      <c r="ER68" s="922"/>
      <c r="ES68" s="922"/>
      <c r="ET68" s="922"/>
      <c r="EU68" s="922"/>
      <c r="EV68" s="922"/>
      <c r="EW68" s="922"/>
    </row>
    <row r="69" spans="1:153">
      <c r="A69" s="320">
        <v>60</v>
      </c>
      <c r="B69" s="759"/>
      <c r="C69" s="759"/>
      <c r="D69" s="759"/>
      <c r="E69" s="760"/>
      <c r="F69" s="761"/>
      <c r="G69" s="761"/>
      <c r="H69" s="762"/>
      <c r="I69" s="762"/>
      <c r="J69" s="763"/>
      <c r="K69" s="763"/>
      <c r="L69" s="763"/>
      <c r="M69" s="763"/>
      <c r="N69" s="764"/>
      <c r="O69" s="761"/>
      <c r="P69" s="761"/>
      <c r="Q69" s="761"/>
      <c r="R69" s="761"/>
      <c r="S69" s="761"/>
      <c r="T69" s="761"/>
      <c r="U69" s="761"/>
      <c r="V69" s="761"/>
      <c r="W69" s="765"/>
      <c r="X69" s="766"/>
      <c r="Y69" s="766"/>
      <c r="Z69" s="766"/>
      <c r="AA69" s="766"/>
      <c r="AB69" s="766"/>
      <c r="AC69" s="766"/>
      <c r="AD69" s="920">
        <v>60</v>
      </c>
      <c r="AE69" s="922"/>
      <c r="AF69" s="922"/>
      <c r="AG69" s="922"/>
      <c r="AH69" s="922"/>
      <c r="AI69" s="922"/>
      <c r="AJ69" s="922"/>
      <c r="AK69" s="922"/>
      <c r="AL69" s="922"/>
      <c r="AM69" s="922"/>
      <c r="AN69" s="922"/>
      <c r="AO69" s="922"/>
      <c r="AP69" s="922"/>
      <c r="AQ69" s="922"/>
      <c r="AR69" s="922"/>
      <c r="AS69" s="922"/>
      <c r="AT69" s="922"/>
      <c r="AU69" s="922"/>
      <c r="AV69" s="922"/>
      <c r="AW69" s="922"/>
      <c r="AX69" s="922"/>
      <c r="AY69" s="922"/>
      <c r="AZ69" s="922"/>
      <c r="BA69" s="922"/>
      <c r="BB69" s="922"/>
      <c r="BC69" s="922"/>
      <c r="BD69" s="922"/>
      <c r="BE69" s="922"/>
      <c r="BF69" s="922"/>
      <c r="BG69" s="922"/>
      <c r="BH69" s="922"/>
      <c r="BI69" s="922"/>
      <c r="BJ69" s="922"/>
      <c r="BK69" s="922"/>
      <c r="BL69" s="922"/>
      <c r="BM69" s="922"/>
      <c r="BN69" s="922"/>
      <c r="BO69" s="922"/>
      <c r="BP69" s="922"/>
      <c r="BQ69" s="922"/>
      <c r="BR69" s="922"/>
      <c r="BS69" s="922"/>
      <c r="BT69" s="922"/>
      <c r="BU69" s="922"/>
      <c r="BV69" s="922"/>
      <c r="BW69" s="922"/>
      <c r="BX69" s="922"/>
      <c r="BY69" s="922"/>
      <c r="BZ69" s="922"/>
      <c r="CA69" s="922"/>
      <c r="CB69" s="922"/>
      <c r="CC69" s="922"/>
      <c r="CD69" s="922"/>
      <c r="CE69" s="922"/>
      <c r="CF69" s="922"/>
      <c r="CG69" s="922"/>
      <c r="CH69" s="922"/>
      <c r="CI69" s="922"/>
      <c r="CJ69" s="922"/>
      <c r="CK69" s="922"/>
      <c r="CL69" s="922"/>
      <c r="CM69" s="922"/>
      <c r="CN69" s="922"/>
      <c r="CO69" s="922"/>
      <c r="CP69" s="922"/>
      <c r="CQ69" s="922"/>
      <c r="CR69" s="922"/>
      <c r="CS69" s="922"/>
      <c r="CT69" s="922"/>
      <c r="CU69" s="922"/>
      <c r="CV69" s="922"/>
      <c r="CW69" s="922"/>
      <c r="CX69" s="922"/>
      <c r="CY69" s="922"/>
      <c r="CZ69" s="922"/>
      <c r="DA69" s="922"/>
      <c r="DB69" s="922"/>
      <c r="DC69" s="922"/>
      <c r="DD69" s="922"/>
      <c r="DE69" s="922"/>
      <c r="DF69" s="922"/>
      <c r="DG69" s="922"/>
      <c r="DH69" s="922"/>
      <c r="DI69" s="922"/>
      <c r="DJ69" s="922"/>
      <c r="DK69" s="922"/>
      <c r="DL69" s="922"/>
      <c r="DM69" s="922"/>
      <c r="DN69" s="922"/>
      <c r="DO69" s="922"/>
      <c r="DP69" s="922"/>
      <c r="DQ69" s="922"/>
      <c r="DR69" s="922"/>
      <c r="DS69" s="922"/>
      <c r="DT69" s="922"/>
      <c r="DU69" s="922"/>
      <c r="DV69" s="922"/>
      <c r="DW69" s="922"/>
      <c r="DX69" s="922"/>
      <c r="DY69" s="922"/>
      <c r="DZ69" s="922"/>
      <c r="EA69" s="922"/>
      <c r="EB69" s="922"/>
      <c r="EC69" s="922"/>
      <c r="ED69" s="922"/>
      <c r="EE69" s="922"/>
      <c r="EF69" s="922"/>
      <c r="EG69" s="922"/>
      <c r="EH69" s="922"/>
      <c r="EI69" s="922"/>
      <c r="EJ69" s="922"/>
      <c r="EK69" s="922"/>
      <c r="EL69" s="922"/>
      <c r="EM69" s="922"/>
      <c r="EN69" s="922"/>
      <c r="EO69" s="922"/>
      <c r="EP69" s="922"/>
      <c r="EQ69" s="922"/>
      <c r="ER69" s="922"/>
      <c r="ES69" s="922"/>
      <c r="ET69" s="922"/>
      <c r="EU69" s="922"/>
      <c r="EV69" s="922"/>
      <c r="EW69" s="922"/>
    </row>
    <row r="70" spans="1:153">
      <c r="A70" s="320">
        <v>61</v>
      </c>
      <c r="B70" s="759"/>
      <c r="C70" s="759"/>
      <c r="D70" s="759"/>
      <c r="E70" s="760"/>
      <c r="F70" s="761"/>
      <c r="G70" s="761"/>
      <c r="H70" s="762"/>
      <c r="I70" s="762"/>
      <c r="J70" s="763"/>
      <c r="K70" s="763"/>
      <c r="L70" s="763"/>
      <c r="M70" s="763"/>
      <c r="N70" s="764"/>
      <c r="O70" s="761"/>
      <c r="P70" s="761"/>
      <c r="Q70" s="761"/>
      <c r="R70" s="761"/>
      <c r="S70" s="761"/>
      <c r="T70" s="761"/>
      <c r="U70" s="761"/>
      <c r="V70" s="761"/>
      <c r="W70" s="765"/>
      <c r="X70" s="766"/>
      <c r="Y70" s="766"/>
      <c r="Z70" s="766"/>
      <c r="AA70" s="766"/>
      <c r="AB70" s="766"/>
      <c r="AC70" s="766"/>
      <c r="AD70" s="920">
        <v>61</v>
      </c>
      <c r="AE70" s="922"/>
      <c r="AF70" s="922"/>
      <c r="AG70" s="922"/>
      <c r="AH70" s="922"/>
      <c r="AI70" s="922"/>
      <c r="AJ70" s="922"/>
      <c r="AK70" s="922"/>
      <c r="AL70" s="922"/>
      <c r="AM70" s="922"/>
      <c r="AN70" s="922"/>
      <c r="AO70" s="922"/>
      <c r="AP70" s="922"/>
      <c r="AQ70" s="922"/>
      <c r="AR70" s="922"/>
      <c r="AS70" s="922"/>
      <c r="AT70" s="922"/>
      <c r="AU70" s="922"/>
      <c r="AV70" s="922"/>
      <c r="AW70" s="922"/>
      <c r="AX70" s="922"/>
      <c r="AY70" s="922"/>
      <c r="AZ70" s="922"/>
      <c r="BA70" s="922"/>
      <c r="BB70" s="922"/>
      <c r="BC70" s="922"/>
      <c r="BD70" s="922"/>
      <c r="BE70" s="922"/>
      <c r="BF70" s="922"/>
      <c r="BG70" s="922"/>
      <c r="BH70" s="922"/>
      <c r="BI70" s="922"/>
      <c r="BJ70" s="922"/>
      <c r="BK70" s="922"/>
      <c r="BL70" s="922"/>
      <c r="BM70" s="922"/>
      <c r="BN70" s="922"/>
      <c r="BO70" s="922"/>
      <c r="BP70" s="922"/>
      <c r="BQ70" s="922"/>
      <c r="BR70" s="922"/>
      <c r="BS70" s="922"/>
      <c r="BT70" s="922"/>
      <c r="BU70" s="922"/>
      <c r="BV70" s="922"/>
      <c r="BW70" s="922"/>
      <c r="BX70" s="922"/>
      <c r="BY70" s="922"/>
      <c r="BZ70" s="922"/>
      <c r="CA70" s="922"/>
      <c r="CB70" s="922"/>
      <c r="CC70" s="922"/>
      <c r="CD70" s="922"/>
      <c r="CE70" s="922"/>
      <c r="CF70" s="922"/>
      <c r="CG70" s="922"/>
      <c r="CH70" s="922"/>
      <c r="CI70" s="922"/>
      <c r="CJ70" s="922"/>
      <c r="CK70" s="922"/>
      <c r="CL70" s="922"/>
      <c r="CM70" s="922"/>
      <c r="CN70" s="922"/>
      <c r="CO70" s="922"/>
      <c r="CP70" s="922"/>
      <c r="CQ70" s="922"/>
      <c r="CR70" s="922"/>
      <c r="CS70" s="922"/>
      <c r="CT70" s="922"/>
      <c r="CU70" s="922"/>
      <c r="CV70" s="922"/>
      <c r="CW70" s="922"/>
      <c r="CX70" s="922"/>
      <c r="CY70" s="922"/>
      <c r="CZ70" s="922"/>
      <c r="DA70" s="922"/>
      <c r="DB70" s="922"/>
      <c r="DC70" s="922"/>
      <c r="DD70" s="922"/>
      <c r="DE70" s="922"/>
      <c r="DF70" s="922"/>
      <c r="DG70" s="922"/>
      <c r="DH70" s="922"/>
      <c r="DI70" s="922"/>
      <c r="DJ70" s="922"/>
      <c r="DK70" s="922"/>
      <c r="DL70" s="922"/>
      <c r="DM70" s="922"/>
      <c r="DN70" s="922"/>
      <c r="DO70" s="922"/>
      <c r="DP70" s="922"/>
      <c r="DQ70" s="922"/>
      <c r="DR70" s="922"/>
      <c r="DS70" s="922"/>
      <c r="DT70" s="922"/>
      <c r="DU70" s="922"/>
      <c r="DV70" s="922"/>
      <c r="DW70" s="922"/>
      <c r="DX70" s="922"/>
      <c r="DY70" s="922"/>
      <c r="DZ70" s="922"/>
      <c r="EA70" s="922"/>
      <c r="EB70" s="922"/>
      <c r="EC70" s="922"/>
      <c r="ED70" s="922"/>
      <c r="EE70" s="922"/>
      <c r="EF70" s="922"/>
      <c r="EG70" s="922"/>
      <c r="EH70" s="922"/>
      <c r="EI70" s="922"/>
      <c r="EJ70" s="922"/>
      <c r="EK70" s="922"/>
      <c r="EL70" s="922"/>
      <c r="EM70" s="922"/>
      <c r="EN70" s="922"/>
      <c r="EO70" s="922"/>
      <c r="EP70" s="922"/>
      <c r="EQ70" s="922"/>
      <c r="ER70" s="922"/>
      <c r="ES70" s="922"/>
      <c r="ET70" s="922"/>
      <c r="EU70" s="922"/>
      <c r="EV70" s="922"/>
      <c r="EW70" s="922"/>
    </row>
    <row r="71" spans="1:153">
      <c r="A71" s="320">
        <v>62</v>
      </c>
      <c r="B71" s="759"/>
      <c r="C71" s="759"/>
      <c r="D71" s="759"/>
      <c r="E71" s="760"/>
      <c r="F71" s="761"/>
      <c r="G71" s="761"/>
      <c r="H71" s="762"/>
      <c r="I71" s="762"/>
      <c r="J71" s="763"/>
      <c r="K71" s="763"/>
      <c r="L71" s="763"/>
      <c r="M71" s="763"/>
      <c r="N71" s="764"/>
      <c r="O71" s="761"/>
      <c r="P71" s="761"/>
      <c r="Q71" s="761"/>
      <c r="R71" s="761"/>
      <c r="S71" s="761"/>
      <c r="T71" s="761"/>
      <c r="U71" s="761"/>
      <c r="V71" s="761"/>
      <c r="W71" s="765"/>
      <c r="X71" s="766"/>
      <c r="Y71" s="766"/>
      <c r="Z71" s="766"/>
      <c r="AA71" s="766"/>
      <c r="AB71" s="766"/>
      <c r="AC71" s="766"/>
      <c r="AD71" s="920">
        <v>62</v>
      </c>
      <c r="AE71" s="922"/>
      <c r="AF71" s="922"/>
      <c r="AG71" s="922"/>
      <c r="AH71" s="922"/>
      <c r="AI71" s="922"/>
      <c r="AJ71" s="922"/>
      <c r="AK71" s="922"/>
      <c r="AL71" s="922"/>
      <c r="AM71" s="922"/>
      <c r="AN71" s="922"/>
      <c r="AO71" s="922"/>
      <c r="AP71" s="922"/>
      <c r="AQ71" s="922"/>
      <c r="AR71" s="922"/>
      <c r="AS71" s="922"/>
      <c r="AT71" s="922"/>
      <c r="AU71" s="922"/>
      <c r="AV71" s="922"/>
      <c r="AW71" s="922"/>
      <c r="AX71" s="922"/>
      <c r="AY71" s="922"/>
      <c r="AZ71" s="922"/>
      <c r="BA71" s="922"/>
      <c r="BB71" s="922"/>
      <c r="BC71" s="922"/>
      <c r="BD71" s="922"/>
      <c r="BE71" s="922"/>
      <c r="BF71" s="922"/>
      <c r="BG71" s="922"/>
      <c r="BH71" s="922"/>
      <c r="BI71" s="922"/>
      <c r="BJ71" s="922"/>
      <c r="BK71" s="922"/>
      <c r="BL71" s="922"/>
      <c r="BM71" s="922"/>
      <c r="BN71" s="922"/>
      <c r="BO71" s="922"/>
      <c r="BP71" s="922"/>
      <c r="BQ71" s="922"/>
      <c r="BR71" s="922"/>
      <c r="BS71" s="922"/>
      <c r="BT71" s="922"/>
      <c r="BU71" s="922"/>
      <c r="BV71" s="922"/>
      <c r="BW71" s="922"/>
      <c r="BX71" s="922"/>
      <c r="BY71" s="922"/>
      <c r="BZ71" s="922"/>
      <c r="CA71" s="922"/>
      <c r="CB71" s="922"/>
      <c r="CC71" s="922"/>
      <c r="CD71" s="922"/>
      <c r="CE71" s="922"/>
      <c r="CF71" s="922"/>
      <c r="CG71" s="922"/>
      <c r="CH71" s="922"/>
      <c r="CI71" s="922"/>
      <c r="CJ71" s="922"/>
      <c r="CK71" s="922"/>
      <c r="CL71" s="922"/>
      <c r="CM71" s="922"/>
      <c r="CN71" s="922"/>
      <c r="CO71" s="922"/>
      <c r="CP71" s="922"/>
      <c r="CQ71" s="922"/>
      <c r="CR71" s="922"/>
      <c r="CS71" s="922"/>
      <c r="CT71" s="922"/>
      <c r="CU71" s="922"/>
      <c r="CV71" s="922"/>
      <c r="CW71" s="922"/>
      <c r="CX71" s="922"/>
      <c r="CY71" s="922"/>
      <c r="CZ71" s="922"/>
      <c r="DA71" s="922"/>
      <c r="DB71" s="922"/>
      <c r="DC71" s="922"/>
      <c r="DD71" s="922"/>
      <c r="DE71" s="922"/>
      <c r="DF71" s="922"/>
      <c r="DG71" s="922"/>
      <c r="DH71" s="922"/>
      <c r="DI71" s="922"/>
      <c r="DJ71" s="922"/>
      <c r="DK71" s="922"/>
      <c r="DL71" s="922"/>
      <c r="DM71" s="922"/>
      <c r="DN71" s="922"/>
      <c r="DO71" s="922"/>
      <c r="DP71" s="922"/>
      <c r="DQ71" s="922"/>
      <c r="DR71" s="922"/>
      <c r="DS71" s="922"/>
      <c r="DT71" s="922"/>
      <c r="DU71" s="922"/>
      <c r="DV71" s="922"/>
      <c r="DW71" s="922"/>
      <c r="DX71" s="922"/>
      <c r="DY71" s="922"/>
      <c r="DZ71" s="922"/>
      <c r="EA71" s="922"/>
      <c r="EB71" s="922"/>
      <c r="EC71" s="922"/>
      <c r="ED71" s="922"/>
      <c r="EE71" s="922"/>
      <c r="EF71" s="922"/>
      <c r="EG71" s="922"/>
      <c r="EH71" s="922"/>
      <c r="EI71" s="922"/>
      <c r="EJ71" s="922"/>
      <c r="EK71" s="922"/>
      <c r="EL71" s="922"/>
      <c r="EM71" s="922"/>
      <c r="EN71" s="922"/>
      <c r="EO71" s="922"/>
      <c r="EP71" s="922"/>
      <c r="EQ71" s="922"/>
      <c r="ER71" s="922"/>
      <c r="ES71" s="922"/>
      <c r="ET71" s="922"/>
      <c r="EU71" s="922"/>
      <c r="EV71" s="922"/>
      <c r="EW71" s="922"/>
    </row>
    <row r="72" spans="1:153">
      <c r="A72" s="320">
        <v>63</v>
      </c>
      <c r="B72" s="759"/>
      <c r="C72" s="759"/>
      <c r="D72" s="759"/>
      <c r="E72" s="760"/>
      <c r="F72" s="761"/>
      <c r="G72" s="761"/>
      <c r="H72" s="762"/>
      <c r="I72" s="762"/>
      <c r="J72" s="763"/>
      <c r="K72" s="763"/>
      <c r="L72" s="763"/>
      <c r="M72" s="763"/>
      <c r="N72" s="764"/>
      <c r="O72" s="761"/>
      <c r="P72" s="761"/>
      <c r="Q72" s="761"/>
      <c r="R72" s="761"/>
      <c r="S72" s="761"/>
      <c r="T72" s="761"/>
      <c r="U72" s="761"/>
      <c r="V72" s="761"/>
      <c r="W72" s="765"/>
      <c r="X72" s="766"/>
      <c r="Y72" s="766"/>
      <c r="Z72" s="766"/>
      <c r="AA72" s="766"/>
      <c r="AB72" s="766"/>
      <c r="AC72" s="766"/>
      <c r="AD72" s="920">
        <v>63</v>
      </c>
      <c r="AE72" s="922"/>
      <c r="AF72" s="922"/>
      <c r="AG72" s="922"/>
      <c r="AH72" s="922"/>
      <c r="AI72" s="922"/>
      <c r="AJ72" s="922"/>
      <c r="AK72" s="922"/>
      <c r="AL72" s="922"/>
      <c r="AM72" s="922"/>
      <c r="AN72" s="922"/>
      <c r="AO72" s="922"/>
      <c r="AP72" s="922"/>
      <c r="AQ72" s="922"/>
      <c r="AR72" s="922"/>
      <c r="AS72" s="922"/>
      <c r="AT72" s="922"/>
      <c r="AU72" s="922"/>
      <c r="AV72" s="922"/>
      <c r="AW72" s="922"/>
      <c r="AX72" s="922"/>
      <c r="AY72" s="922"/>
      <c r="AZ72" s="922"/>
      <c r="BA72" s="922"/>
      <c r="BB72" s="922"/>
      <c r="BC72" s="922"/>
      <c r="BD72" s="922"/>
      <c r="BE72" s="922"/>
      <c r="BF72" s="922"/>
      <c r="BG72" s="922"/>
      <c r="BH72" s="922"/>
      <c r="BI72" s="922"/>
      <c r="BJ72" s="922"/>
      <c r="BK72" s="922"/>
      <c r="BL72" s="922"/>
      <c r="BM72" s="922"/>
      <c r="BN72" s="922"/>
      <c r="BO72" s="922"/>
      <c r="BP72" s="922"/>
      <c r="BQ72" s="922"/>
      <c r="BR72" s="922"/>
      <c r="BS72" s="922"/>
      <c r="BT72" s="922"/>
      <c r="BU72" s="922"/>
      <c r="BV72" s="922"/>
      <c r="BW72" s="922"/>
      <c r="BX72" s="922"/>
      <c r="BY72" s="922"/>
      <c r="BZ72" s="922"/>
      <c r="CA72" s="922"/>
      <c r="CB72" s="922"/>
      <c r="CC72" s="922"/>
      <c r="CD72" s="922"/>
      <c r="CE72" s="922"/>
      <c r="CF72" s="922"/>
      <c r="CG72" s="922"/>
      <c r="CH72" s="922"/>
      <c r="CI72" s="922"/>
      <c r="CJ72" s="922"/>
      <c r="CK72" s="922"/>
      <c r="CL72" s="922"/>
      <c r="CM72" s="922"/>
      <c r="CN72" s="922"/>
      <c r="CO72" s="922"/>
      <c r="CP72" s="922"/>
      <c r="CQ72" s="922"/>
      <c r="CR72" s="922"/>
      <c r="CS72" s="922"/>
      <c r="CT72" s="922"/>
      <c r="CU72" s="922"/>
      <c r="CV72" s="922"/>
      <c r="CW72" s="922"/>
      <c r="CX72" s="922"/>
      <c r="CY72" s="922"/>
      <c r="CZ72" s="922"/>
      <c r="DA72" s="922"/>
      <c r="DB72" s="922"/>
      <c r="DC72" s="922"/>
      <c r="DD72" s="922"/>
      <c r="DE72" s="922"/>
      <c r="DF72" s="922"/>
      <c r="DG72" s="922"/>
      <c r="DH72" s="922"/>
      <c r="DI72" s="922"/>
      <c r="DJ72" s="922"/>
      <c r="DK72" s="922"/>
      <c r="DL72" s="922"/>
      <c r="DM72" s="922"/>
      <c r="DN72" s="922"/>
      <c r="DO72" s="922"/>
      <c r="DP72" s="922"/>
      <c r="DQ72" s="922"/>
      <c r="DR72" s="922"/>
      <c r="DS72" s="922"/>
      <c r="DT72" s="922"/>
      <c r="DU72" s="922"/>
      <c r="DV72" s="922"/>
      <c r="DW72" s="922"/>
      <c r="DX72" s="922"/>
      <c r="DY72" s="922"/>
      <c r="DZ72" s="922"/>
      <c r="EA72" s="922"/>
      <c r="EB72" s="922"/>
      <c r="EC72" s="922"/>
      <c r="ED72" s="922"/>
      <c r="EE72" s="922"/>
      <c r="EF72" s="922"/>
      <c r="EG72" s="922"/>
      <c r="EH72" s="922"/>
      <c r="EI72" s="922"/>
      <c r="EJ72" s="922"/>
      <c r="EK72" s="922"/>
      <c r="EL72" s="922"/>
      <c r="EM72" s="922"/>
      <c r="EN72" s="922"/>
      <c r="EO72" s="922"/>
      <c r="EP72" s="922"/>
      <c r="EQ72" s="922"/>
      <c r="ER72" s="922"/>
      <c r="ES72" s="922"/>
      <c r="ET72" s="922"/>
      <c r="EU72" s="922"/>
      <c r="EV72" s="922"/>
      <c r="EW72" s="922"/>
    </row>
    <row r="73" spans="1:153">
      <c r="A73" s="320">
        <v>64</v>
      </c>
      <c r="B73" s="759"/>
      <c r="C73" s="759"/>
      <c r="D73" s="759"/>
      <c r="E73" s="760"/>
      <c r="F73" s="761"/>
      <c r="G73" s="761"/>
      <c r="H73" s="762"/>
      <c r="I73" s="762"/>
      <c r="J73" s="763"/>
      <c r="K73" s="763"/>
      <c r="L73" s="763"/>
      <c r="M73" s="763"/>
      <c r="N73" s="764"/>
      <c r="O73" s="761"/>
      <c r="P73" s="761"/>
      <c r="Q73" s="761"/>
      <c r="R73" s="761"/>
      <c r="S73" s="761"/>
      <c r="T73" s="761"/>
      <c r="U73" s="761"/>
      <c r="V73" s="761"/>
      <c r="W73" s="765"/>
      <c r="X73" s="766"/>
      <c r="Y73" s="766"/>
      <c r="Z73" s="766"/>
      <c r="AA73" s="766"/>
      <c r="AB73" s="766"/>
      <c r="AC73" s="766"/>
      <c r="AD73" s="920">
        <v>64</v>
      </c>
      <c r="AE73" s="922"/>
      <c r="AF73" s="922"/>
      <c r="AG73" s="922"/>
      <c r="AH73" s="922"/>
      <c r="AI73" s="922"/>
      <c r="AJ73" s="922"/>
      <c r="AK73" s="922"/>
      <c r="AL73" s="922"/>
      <c r="AM73" s="922"/>
      <c r="AN73" s="922"/>
      <c r="AO73" s="922"/>
      <c r="AP73" s="922"/>
      <c r="AQ73" s="922"/>
      <c r="AR73" s="922"/>
      <c r="AS73" s="922"/>
      <c r="AT73" s="922"/>
      <c r="AU73" s="922"/>
      <c r="AV73" s="922"/>
      <c r="AW73" s="922"/>
      <c r="AX73" s="922"/>
      <c r="AY73" s="922"/>
      <c r="AZ73" s="922"/>
      <c r="BA73" s="922"/>
      <c r="BB73" s="922"/>
      <c r="BC73" s="922"/>
      <c r="BD73" s="922"/>
      <c r="BE73" s="922"/>
      <c r="BF73" s="922"/>
      <c r="BG73" s="922"/>
      <c r="BH73" s="922"/>
      <c r="BI73" s="922"/>
      <c r="BJ73" s="922"/>
      <c r="BK73" s="922"/>
      <c r="BL73" s="922"/>
      <c r="BM73" s="922"/>
      <c r="BN73" s="922"/>
      <c r="BO73" s="922"/>
      <c r="BP73" s="922"/>
      <c r="BQ73" s="922"/>
      <c r="BR73" s="922"/>
      <c r="BS73" s="922"/>
      <c r="BT73" s="922"/>
      <c r="BU73" s="922"/>
      <c r="BV73" s="922"/>
      <c r="BW73" s="922"/>
      <c r="BX73" s="922"/>
      <c r="BY73" s="922"/>
      <c r="BZ73" s="922"/>
      <c r="CA73" s="922"/>
      <c r="CB73" s="922"/>
      <c r="CC73" s="922"/>
      <c r="CD73" s="922"/>
      <c r="CE73" s="922"/>
      <c r="CF73" s="922"/>
      <c r="CG73" s="922"/>
      <c r="CH73" s="922"/>
      <c r="CI73" s="922"/>
      <c r="CJ73" s="922"/>
      <c r="CK73" s="922"/>
      <c r="CL73" s="922"/>
      <c r="CM73" s="922"/>
      <c r="CN73" s="922"/>
      <c r="CO73" s="922"/>
      <c r="CP73" s="922"/>
      <c r="CQ73" s="922"/>
      <c r="CR73" s="922"/>
      <c r="CS73" s="922"/>
      <c r="CT73" s="922"/>
      <c r="CU73" s="922"/>
      <c r="CV73" s="922"/>
      <c r="CW73" s="922"/>
      <c r="CX73" s="922"/>
      <c r="CY73" s="922"/>
      <c r="CZ73" s="922"/>
      <c r="DA73" s="922"/>
      <c r="DB73" s="922"/>
      <c r="DC73" s="922"/>
      <c r="DD73" s="922"/>
      <c r="DE73" s="922"/>
      <c r="DF73" s="922"/>
      <c r="DG73" s="922"/>
      <c r="DH73" s="922"/>
      <c r="DI73" s="922"/>
      <c r="DJ73" s="922"/>
      <c r="DK73" s="922"/>
      <c r="DL73" s="922"/>
      <c r="DM73" s="922"/>
      <c r="DN73" s="922"/>
      <c r="DO73" s="922"/>
      <c r="DP73" s="922"/>
      <c r="DQ73" s="922"/>
      <c r="DR73" s="922"/>
      <c r="DS73" s="922"/>
      <c r="DT73" s="922"/>
      <c r="DU73" s="922"/>
      <c r="DV73" s="922"/>
      <c r="DW73" s="922"/>
      <c r="DX73" s="922"/>
      <c r="DY73" s="922"/>
      <c r="DZ73" s="922"/>
      <c r="EA73" s="922"/>
      <c r="EB73" s="922"/>
      <c r="EC73" s="922"/>
      <c r="ED73" s="922"/>
      <c r="EE73" s="922"/>
      <c r="EF73" s="922"/>
      <c r="EG73" s="922"/>
      <c r="EH73" s="922"/>
      <c r="EI73" s="922"/>
      <c r="EJ73" s="922"/>
      <c r="EK73" s="922"/>
      <c r="EL73" s="922"/>
      <c r="EM73" s="922"/>
      <c r="EN73" s="922"/>
      <c r="EO73" s="922"/>
      <c r="EP73" s="922"/>
      <c r="EQ73" s="922"/>
      <c r="ER73" s="922"/>
      <c r="ES73" s="922"/>
      <c r="ET73" s="922"/>
      <c r="EU73" s="922"/>
      <c r="EV73" s="922"/>
      <c r="EW73" s="922"/>
    </row>
    <row r="74" spans="1:153">
      <c r="A74" s="320">
        <v>65</v>
      </c>
      <c r="B74" s="759"/>
      <c r="C74" s="759"/>
      <c r="D74" s="759"/>
      <c r="E74" s="760"/>
      <c r="F74" s="761"/>
      <c r="G74" s="761"/>
      <c r="H74" s="762"/>
      <c r="I74" s="762"/>
      <c r="J74" s="763"/>
      <c r="K74" s="763"/>
      <c r="L74" s="763"/>
      <c r="M74" s="763"/>
      <c r="N74" s="764"/>
      <c r="O74" s="761"/>
      <c r="P74" s="761"/>
      <c r="Q74" s="761"/>
      <c r="R74" s="761"/>
      <c r="S74" s="761"/>
      <c r="T74" s="761"/>
      <c r="U74" s="761"/>
      <c r="V74" s="761"/>
      <c r="W74" s="765"/>
      <c r="X74" s="766"/>
      <c r="Y74" s="766"/>
      <c r="Z74" s="766"/>
      <c r="AA74" s="766"/>
      <c r="AB74" s="766"/>
      <c r="AC74" s="766"/>
      <c r="AD74" s="920">
        <v>65</v>
      </c>
      <c r="AE74" s="922"/>
      <c r="AF74" s="922"/>
      <c r="AG74" s="922"/>
      <c r="AH74" s="922"/>
      <c r="AI74" s="922"/>
      <c r="AJ74" s="922"/>
      <c r="AK74" s="922"/>
      <c r="AL74" s="922"/>
      <c r="AM74" s="922"/>
      <c r="AN74" s="922"/>
      <c r="AO74" s="922"/>
      <c r="AP74" s="922"/>
      <c r="AQ74" s="922"/>
      <c r="AR74" s="922"/>
      <c r="AS74" s="922"/>
      <c r="AT74" s="922"/>
      <c r="AU74" s="922"/>
      <c r="AV74" s="922"/>
      <c r="AW74" s="922"/>
      <c r="AX74" s="922"/>
      <c r="AY74" s="922"/>
      <c r="AZ74" s="922"/>
      <c r="BA74" s="922"/>
      <c r="BB74" s="922"/>
      <c r="BC74" s="922"/>
      <c r="BD74" s="922"/>
      <c r="BE74" s="922"/>
      <c r="BF74" s="922"/>
      <c r="BG74" s="922"/>
      <c r="BH74" s="922"/>
      <c r="BI74" s="922"/>
      <c r="BJ74" s="922"/>
      <c r="BK74" s="922"/>
      <c r="BL74" s="922"/>
      <c r="BM74" s="922"/>
      <c r="BN74" s="922"/>
      <c r="BO74" s="922"/>
      <c r="BP74" s="922"/>
      <c r="BQ74" s="922"/>
      <c r="BR74" s="922"/>
      <c r="BS74" s="922"/>
      <c r="BT74" s="922"/>
      <c r="BU74" s="922"/>
      <c r="BV74" s="922"/>
      <c r="BW74" s="922"/>
      <c r="BX74" s="922"/>
      <c r="BY74" s="922"/>
      <c r="BZ74" s="922"/>
      <c r="CA74" s="922"/>
      <c r="CB74" s="922"/>
      <c r="CC74" s="922"/>
      <c r="CD74" s="922"/>
      <c r="CE74" s="922"/>
      <c r="CF74" s="922"/>
      <c r="CG74" s="922"/>
      <c r="CH74" s="922"/>
      <c r="CI74" s="922"/>
      <c r="CJ74" s="922"/>
      <c r="CK74" s="922"/>
      <c r="CL74" s="922"/>
      <c r="CM74" s="922"/>
      <c r="CN74" s="922"/>
      <c r="CO74" s="922"/>
      <c r="CP74" s="922"/>
      <c r="CQ74" s="922"/>
      <c r="CR74" s="922"/>
      <c r="CS74" s="922"/>
      <c r="CT74" s="922"/>
      <c r="CU74" s="922"/>
      <c r="CV74" s="922"/>
      <c r="CW74" s="922"/>
      <c r="CX74" s="922"/>
      <c r="CY74" s="922"/>
      <c r="CZ74" s="922"/>
      <c r="DA74" s="922"/>
      <c r="DB74" s="922"/>
      <c r="DC74" s="922"/>
      <c r="DD74" s="922"/>
      <c r="DE74" s="922"/>
      <c r="DF74" s="922"/>
      <c r="DG74" s="922"/>
      <c r="DH74" s="922"/>
      <c r="DI74" s="922"/>
      <c r="DJ74" s="922"/>
      <c r="DK74" s="922"/>
      <c r="DL74" s="922"/>
      <c r="DM74" s="922"/>
      <c r="DN74" s="922"/>
      <c r="DO74" s="922"/>
      <c r="DP74" s="922"/>
      <c r="DQ74" s="922"/>
      <c r="DR74" s="922"/>
      <c r="DS74" s="922"/>
      <c r="DT74" s="922"/>
      <c r="DU74" s="922"/>
      <c r="DV74" s="922"/>
      <c r="DW74" s="922"/>
      <c r="DX74" s="922"/>
      <c r="DY74" s="922"/>
      <c r="DZ74" s="922"/>
      <c r="EA74" s="922"/>
      <c r="EB74" s="922"/>
      <c r="EC74" s="922"/>
      <c r="ED74" s="922"/>
      <c r="EE74" s="922"/>
      <c r="EF74" s="922"/>
      <c r="EG74" s="922"/>
      <c r="EH74" s="922"/>
      <c r="EI74" s="922"/>
      <c r="EJ74" s="922"/>
      <c r="EK74" s="922"/>
      <c r="EL74" s="922"/>
      <c r="EM74" s="922"/>
      <c r="EN74" s="922"/>
      <c r="EO74" s="922"/>
      <c r="EP74" s="922"/>
      <c r="EQ74" s="922"/>
      <c r="ER74" s="922"/>
      <c r="ES74" s="922"/>
      <c r="ET74" s="922"/>
      <c r="EU74" s="922"/>
      <c r="EV74" s="922"/>
      <c r="EW74" s="922"/>
    </row>
    <row r="75" spans="1:153">
      <c r="A75" s="320">
        <v>66</v>
      </c>
      <c r="B75" s="759"/>
      <c r="C75" s="759"/>
      <c r="D75" s="759"/>
      <c r="E75" s="760"/>
      <c r="F75" s="761"/>
      <c r="G75" s="761"/>
      <c r="H75" s="762"/>
      <c r="I75" s="762"/>
      <c r="J75" s="763"/>
      <c r="K75" s="763"/>
      <c r="L75" s="763"/>
      <c r="M75" s="763"/>
      <c r="N75" s="764"/>
      <c r="O75" s="761"/>
      <c r="P75" s="761"/>
      <c r="Q75" s="761"/>
      <c r="R75" s="761"/>
      <c r="S75" s="761"/>
      <c r="T75" s="761"/>
      <c r="U75" s="761"/>
      <c r="V75" s="761"/>
      <c r="W75" s="765"/>
      <c r="X75" s="766"/>
      <c r="Y75" s="766"/>
      <c r="Z75" s="766"/>
      <c r="AA75" s="766"/>
      <c r="AB75" s="766"/>
      <c r="AC75" s="766"/>
      <c r="AD75" s="920">
        <v>66</v>
      </c>
      <c r="AE75" s="922"/>
      <c r="AF75" s="922"/>
      <c r="AG75" s="922"/>
      <c r="AH75" s="922"/>
      <c r="AI75" s="922"/>
      <c r="AJ75" s="922"/>
      <c r="AK75" s="922"/>
      <c r="AL75" s="922"/>
      <c r="AM75" s="922"/>
      <c r="AN75" s="922"/>
      <c r="AO75" s="922"/>
      <c r="AP75" s="922"/>
      <c r="AQ75" s="922"/>
      <c r="AR75" s="922"/>
      <c r="AS75" s="922"/>
      <c r="AT75" s="922"/>
      <c r="AU75" s="922"/>
      <c r="AV75" s="922"/>
      <c r="AW75" s="922"/>
      <c r="AX75" s="922"/>
      <c r="AY75" s="922"/>
      <c r="AZ75" s="922"/>
      <c r="BA75" s="922"/>
      <c r="BB75" s="922"/>
      <c r="BC75" s="922"/>
      <c r="BD75" s="922"/>
      <c r="BE75" s="922"/>
      <c r="BF75" s="922"/>
      <c r="BG75" s="922"/>
      <c r="BH75" s="922"/>
      <c r="BI75" s="922"/>
      <c r="BJ75" s="922"/>
      <c r="BK75" s="922"/>
      <c r="BL75" s="922"/>
      <c r="BM75" s="922"/>
      <c r="BN75" s="922"/>
      <c r="BO75" s="922"/>
      <c r="BP75" s="922"/>
      <c r="BQ75" s="922"/>
      <c r="BR75" s="922"/>
      <c r="BS75" s="922"/>
      <c r="BT75" s="922"/>
      <c r="BU75" s="922"/>
      <c r="BV75" s="922"/>
      <c r="BW75" s="922"/>
      <c r="BX75" s="922"/>
      <c r="BY75" s="922"/>
      <c r="BZ75" s="922"/>
      <c r="CA75" s="922"/>
      <c r="CB75" s="922"/>
      <c r="CC75" s="922"/>
      <c r="CD75" s="922"/>
      <c r="CE75" s="922"/>
      <c r="CF75" s="922"/>
      <c r="CG75" s="922"/>
      <c r="CH75" s="922"/>
      <c r="CI75" s="922"/>
      <c r="CJ75" s="922"/>
      <c r="CK75" s="922"/>
      <c r="CL75" s="922"/>
      <c r="CM75" s="922"/>
      <c r="CN75" s="922"/>
      <c r="CO75" s="922"/>
      <c r="CP75" s="922"/>
      <c r="CQ75" s="922"/>
      <c r="CR75" s="922"/>
      <c r="CS75" s="922"/>
      <c r="CT75" s="922"/>
      <c r="CU75" s="922"/>
      <c r="CV75" s="922"/>
      <c r="CW75" s="922"/>
      <c r="CX75" s="922"/>
      <c r="CY75" s="922"/>
      <c r="CZ75" s="922"/>
      <c r="DA75" s="922"/>
      <c r="DB75" s="922"/>
      <c r="DC75" s="922"/>
      <c r="DD75" s="922"/>
      <c r="DE75" s="922"/>
      <c r="DF75" s="922"/>
      <c r="DG75" s="922"/>
      <c r="DH75" s="922"/>
      <c r="DI75" s="922"/>
      <c r="DJ75" s="922"/>
      <c r="DK75" s="922"/>
      <c r="DL75" s="922"/>
      <c r="DM75" s="922"/>
      <c r="DN75" s="922"/>
      <c r="DO75" s="922"/>
      <c r="DP75" s="922"/>
      <c r="DQ75" s="922"/>
      <c r="DR75" s="922"/>
      <c r="DS75" s="922"/>
      <c r="DT75" s="922"/>
      <c r="DU75" s="922"/>
      <c r="DV75" s="922"/>
      <c r="DW75" s="922"/>
      <c r="DX75" s="922"/>
      <c r="DY75" s="922"/>
      <c r="DZ75" s="922"/>
      <c r="EA75" s="922"/>
      <c r="EB75" s="922"/>
      <c r="EC75" s="922"/>
      <c r="ED75" s="922"/>
      <c r="EE75" s="922"/>
      <c r="EF75" s="922"/>
      <c r="EG75" s="922"/>
      <c r="EH75" s="922"/>
      <c r="EI75" s="922"/>
      <c r="EJ75" s="922"/>
      <c r="EK75" s="922"/>
      <c r="EL75" s="922"/>
      <c r="EM75" s="922"/>
      <c r="EN75" s="922"/>
      <c r="EO75" s="922"/>
      <c r="EP75" s="922"/>
      <c r="EQ75" s="922"/>
      <c r="ER75" s="922"/>
      <c r="ES75" s="922"/>
      <c r="ET75" s="922"/>
      <c r="EU75" s="922"/>
      <c r="EV75" s="922"/>
      <c r="EW75" s="922"/>
    </row>
    <row r="76" spans="1:153">
      <c r="A76" s="320">
        <v>67</v>
      </c>
      <c r="B76" s="759"/>
      <c r="C76" s="759"/>
      <c r="D76" s="759"/>
      <c r="E76" s="760"/>
      <c r="F76" s="761"/>
      <c r="G76" s="761"/>
      <c r="H76" s="762"/>
      <c r="I76" s="762"/>
      <c r="J76" s="763"/>
      <c r="K76" s="763"/>
      <c r="L76" s="763"/>
      <c r="M76" s="763"/>
      <c r="N76" s="764"/>
      <c r="O76" s="761"/>
      <c r="P76" s="761"/>
      <c r="Q76" s="761"/>
      <c r="R76" s="761"/>
      <c r="S76" s="761"/>
      <c r="T76" s="761"/>
      <c r="U76" s="761"/>
      <c r="V76" s="761"/>
      <c r="W76" s="765"/>
      <c r="X76" s="766"/>
      <c r="Y76" s="766"/>
      <c r="Z76" s="766"/>
      <c r="AA76" s="766"/>
      <c r="AB76" s="766"/>
      <c r="AC76" s="766"/>
      <c r="AD76" s="920">
        <v>67</v>
      </c>
      <c r="AE76" s="922"/>
      <c r="AF76" s="922"/>
      <c r="AG76" s="922"/>
      <c r="AH76" s="922"/>
      <c r="AI76" s="922"/>
      <c r="AJ76" s="922"/>
      <c r="AK76" s="922"/>
      <c r="AL76" s="922"/>
      <c r="AM76" s="922"/>
      <c r="AN76" s="922"/>
      <c r="AO76" s="922"/>
      <c r="AP76" s="922"/>
      <c r="AQ76" s="922"/>
      <c r="AR76" s="922"/>
      <c r="AS76" s="922"/>
      <c r="AT76" s="922"/>
      <c r="AU76" s="922"/>
      <c r="AV76" s="922"/>
      <c r="AW76" s="922"/>
      <c r="AX76" s="922"/>
      <c r="AY76" s="922"/>
      <c r="AZ76" s="922"/>
      <c r="BA76" s="922"/>
      <c r="BB76" s="922"/>
      <c r="BC76" s="922"/>
      <c r="BD76" s="922"/>
      <c r="BE76" s="922"/>
      <c r="BF76" s="922"/>
      <c r="BG76" s="922"/>
      <c r="BH76" s="922"/>
      <c r="BI76" s="922"/>
      <c r="BJ76" s="922"/>
      <c r="BK76" s="922"/>
      <c r="BL76" s="922"/>
      <c r="BM76" s="922"/>
      <c r="BN76" s="922"/>
      <c r="BO76" s="922"/>
      <c r="BP76" s="922"/>
      <c r="BQ76" s="922"/>
      <c r="BR76" s="922"/>
      <c r="BS76" s="922"/>
      <c r="BT76" s="922"/>
      <c r="BU76" s="922"/>
      <c r="BV76" s="922"/>
      <c r="BW76" s="922"/>
      <c r="BX76" s="922"/>
      <c r="BY76" s="922"/>
      <c r="BZ76" s="922"/>
      <c r="CA76" s="922"/>
      <c r="CB76" s="922"/>
      <c r="CC76" s="922"/>
      <c r="CD76" s="922"/>
      <c r="CE76" s="922"/>
      <c r="CF76" s="922"/>
      <c r="CG76" s="922"/>
      <c r="CH76" s="922"/>
      <c r="CI76" s="922"/>
      <c r="CJ76" s="922"/>
      <c r="CK76" s="922"/>
      <c r="CL76" s="922"/>
      <c r="CM76" s="922"/>
      <c r="CN76" s="922"/>
      <c r="CO76" s="922"/>
      <c r="CP76" s="922"/>
      <c r="CQ76" s="922"/>
      <c r="CR76" s="922"/>
      <c r="CS76" s="922"/>
      <c r="CT76" s="922"/>
      <c r="CU76" s="922"/>
      <c r="CV76" s="922"/>
      <c r="CW76" s="922"/>
      <c r="CX76" s="922"/>
      <c r="CY76" s="922"/>
      <c r="CZ76" s="922"/>
      <c r="DA76" s="922"/>
      <c r="DB76" s="922"/>
      <c r="DC76" s="922"/>
      <c r="DD76" s="922"/>
      <c r="DE76" s="922"/>
      <c r="DF76" s="922"/>
      <c r="DG76" s="922"/>
      <c r="DH76" s="922"/>
      <c r="DI76" s="922"/>
      <c r="DJ76" s="922"/>
      <c r="DK76" s="922"/>
      <c r="DL76" s="922"/>
      <c r="DM76" s="922"/>
      <c r="DN76" s="922"/>
      <c r="DO76" s="922"/>
      <c r="DP76" s="922"/>
      <c r="DQ76" s="922"/>
      <c r="DR76" s="922"/>
      <c r="DS76" s="922"/>
      <c r="DT76" s="922"/>
      <c r="DU76" s="922"/>
      <c r="DV76" s="922"/>
      <c r="DW76" s="922"/>
      <c r="DX76" s="922"/>
      <c r="DY76" s="922"/>
      <c r="DZ76" s="922"/>
      <c r="EA76" s="922"/>
      <c r="EB76" s="922"/>
      <c r="EC76" s="922"/>
      <c r="ED76" s="922"/>
      <c r="EE76" s="922"/>
      <c r="EF76" s="922"/>
      <c r="EG76" s="922"/>
      <c r="EH76" s="922"/>
      <c r="EI76" s="922"/>
      <c r="EJ76" s="922"/>
      <c r="EK76" s="922"/>
      <c r="EL76" s="922"/>
      <c r="EM76" s="922"/>
      <c r="EN76" s="922"/>
      <c r="EO76" s="922"/>
      <c r="EP76" s="922"/>
      <c r="EQ76" s="922"/>
      <c r="ER76" s="922"/>
      <c r="ES76" s="922"/>
      <c r="ET76" s="922"/>
      <c r="EU76" s="922"/>
      <c r="EV76" s="922"/>
      <c r="EW76" s="922"/>
    </row>
    <row r="77" spans="1:153">
      <c r="A77" s="320">
        <v>68</v>
      </c>
      <c r="B77" s="759"/>
      <c r="C77" s="759"/>
      <c r="D77" s="759"/>
      <c r="E77" s="760"/>
      <c r="F77" s="761"/>
      <c r="G77" s="761"/>
      <c r="H77" s="762"/>
      <c r="I77" s="762"/>
      <c r="J77" s="763"/>
      <c r="K77" s="763"/>
      <c r="L77" s="763"/>
      <c r="M77" s="763"/>
      <c r="N77" s="764"/>
      <c r="O77" s="761"/>
      <c r="P77" s="761"/>
      <c r="Q77" s="761"/>
      <c r="R77" s="761"/>
      <c r="S77" s="761"/>
      <c r="T77" s="761"/>
      <c r="U77" s="761"/>
      <c r="V77" s="761"/>
      <c r="W77" s="765"/>
      <c r="X77" s="766"/>
      <c r="Y77" s="766"/>
      <c r="Z77" s="766"/>
      <c r="AA77" s="766"/>
      <c r="AB77" s="766"/>
      <c r="AC77" s="766"/>
      <c r="AD77" s="920">
        <v>68</v>
      </c>
      <c r="AE77" s="922"/>
      <c r="AF77" s="922"/>
      <c r="AG77" s="922"/>
      <c r="AH77" s="922"/>
      <c r="AI77" s="922"/>
      <c r="AJ77" s="922"/>
      <c r="AK77" s="922"/>
      <c r="AL77" s="922"/>
      <c r="AM77" s="922"/>
      <c r="AN77" s="922"/>
      <c r="AO77" s="922"/>
      <c r="AP77" s="922"/>
      <c r="AQ77" s="922"/>
      <c r="AR77" s="922"/>
      <c r="AS77" s="922"/>
      <c r="AT77" s="922"/>
      <c r="AU77" s="922"/>
      <c r="AV77" s="922"/>
      <c r="AW77" s="922"/>
      <c r="AX77" s="922"/>
      <c r="AY77" s="922"/>
      <c r="AZ77" s="922"/>
      <c r="BA77" s="922"/>
      <c r="BB77" s="922"/>
      <c r="BC77" s="922"/>
      <c r="BD77" s="922"/>
      <c r="BE77" s="922"/>
      <c r="BF77" s="922"/>
      <c r="BG77" s="922"/>
      <c r="BH77" s="922"/>
      <c r="BI77" s="922"/>
      <c r="BJ77" s="922"/>
      <c r="BK77" s="922"/>
      <c r="BL77" s="922"/>
      <c r="BM77" s="922"/>
      <c r="BN77" s="922"/>
      <c r="BO77" s="922"/>
      <c r="BP77" s="922"/>
      <c r="BQ77" s="922"/>
      <c r="BR77" s="922"/>
      <c r="BS77" s="922"/>
      <c r="BT77" s="922"/>
      <c r="BU77" s="922"/>
      <c r="BV77" s="922"/>
      <c r="BW77" s="922"/>
      <c r="BX77" s="922"/>
      <c r="BY77" s="922"/>
      <c r="BZ77" s="922"/>
      <c r="CA77" s="922"/>
      <c r="CB77" s="922"/>
      <c r="CC77" s="922"/>
      <c r="CD77" s="922"/>
      <c r="CE77" s="922"/>
      <c r="CF77" s="922"/>
      <c r="CG77" s="922"/>
      <c r="CH77" s="922"/>
      <c r="CI77" s="922"/>
      <c r="CJ77" s="922"/>
      <c r="CK77" s="922"/>
      <c r="CL77" s="922"/>
      <c r="CM77" s="922"/>
      <c r="CN77" s="922"/>
      <c r="CO77" s="922"/>
      <c r="CP77" s="922"/>
      <c r="CQ77" s="922"/>
      <c r="CR77" s="922"/>
      <c r="CS77" s="922"/>
      <c r="CT77" s="922"/>
      <c r="CU77" s="922"/>
      <c r="CV77" s="922"/>
      <c r="CW77" s="922"/>
      <c r="CX77" s="922"/>
      <c r="CY77" s="922"/>
      <c r="CZ77" s="922"/>
      <c r="DA77" s="922"/>
      <c r="DB77" s="922"/>
      <c r="DC77" s="922"/>
      <c r="DD77" s="922"/>
      <c r="DE77" s="922"/>
      <c r="DF77" s="922"/>
      <c r="DG77" s="922"/>
      <c r="DH77" s="922"/>
      <c r="DI77" s="922"/>
      <c r="DJ77" s="922"/>
      <c r="DK77" s="922"/>
      <c r="DL77" s="922"/>
      <c r="DM77" s="922"/>
      <c r="DN77" s="922"/>
      <c r="DO77" s="922"/>
      <c r="DP77" s="922"/>
      <c r="DQ77" s="922"/>
      <c r="DR77" s="922"/>
      <c r="DS77" s="922"/>
      <c r="DT77" s="922"/>
      <c r="DU77" s="922"/>
      <c r="DV77" s="922"/>
      <c r="DW77" s="922"/>
      <c r="DX77" s="922"/>
      <c r="DY77" s="922"/>
      <c r="DZ77" s="922"/>
      <c r="EA77" s="922"/>
      <c r="EB77" s="922"/>
      <c r="EC77" s="922"/>
      <c r="ED77" s="922"/>
      <c r="EE77" s="922"/>
      <c r="EF77" s="922"/>
      <c r="EG77" s="922"/>
      <c r="EH77" s="922"/>
      <c r="EI77" s="922"/>
      <c r="EJ77" s="922"/>
      <c r="EK77" s="922"/>
      <c r="EL77" s="922"/>
      <c r="EM77" s="922"/>
      <c r="EN77" s="922"/>
      <c r="EO77" s="922"/>
      <c r="EP77" s="922"/>
      <c r="EQ77" s="922"/>
      <c r="ER77" s="922"/>
      <c r="ES77" s="922"/>
      <c r="ET77" s="922"/>
      <c r="EU77" s="922"/>
      <c r="EV77" s="922"/>
      <c r="EW77" s="922"/>
    </row>
    <row r="78" spans="1:153">
      <c r="A78" s="320">
        <v>69</v>
      </c>
      <c r="B78" s="759"/>
      <c r="C78" s="759"/>
      <c r="D78" s="759"/>
      <c r="E78" s="760"/>
      <c r="F78" s="761"/>
      <c r="G78" s="761"/>
      <c r="H78" s="762"/>
      <c r="I78" s="762"/>
      <c r="J78" s="763"/>
      <c r="K78" s="763"/>
      <c r="L78" s="763"/>
      <c r="M78" s="763"/>
      <c r="N78" s="764"/>
      <c r="O78" s="761"/>
      <c r="P78" s="761"/>
      <c r="Q78" s="761"/>
      <c r="R78" s="761"/>
      <c r="S78" s="761"/>
      <c r="T78" s="761"/>
      <c r="U78" s="761"/>
      <c r="V78" s="761"/>
      <c r="W78" s="765"/>
      <c r="X78" s="766"/>
      <c r="Y78" s="766"/>
      <c r="Z78" s="766"/>
      <c r="AA78" s="766"/>
      <c r="AB78" s="766"/>
      <c r="AC78" s="766"/>
      <c r="AD78" s="920">
        <v>69</v>
      </c>
      <c r="AE78" s="922"/>
      <c r="AF78" s="922"/>
      <c r="AG78" s="922"/>
      <c r="AH78" s="922"/>
      <c r="AI78" s="922"/>
      <c r="AJ78" s="922"/>
      <c r="AK78" s="922"/>
      <c r="AL78" s="922"/>
      <c r="AM78" s="922"/>
      <c r="AN78" s="922"/>
      <c r="AO78" s="922"/>
      <c r="AP78" s="922"/>
      <c r="AQ78" s="922"/>
      <c r="AR78" s="922"/>
      <c r="AS78" s="922"/>
      <c r="AT78" s="922"/>
      <c r="AU78" s="922"/>
      <c r="AV78" s="922"/>
      <c r="AW78" s="922"/>
      <c r="AX78" s="922"/>
      <c r="AY78" s="922"/>
      <c r="AZ78" s="922"/>
      <c r="BA78" s="922"/>
      <c r="BB78" s="922"/>
      <c r="BC78" s="922"/>
      <c r="BD78" s="922"/>
      <c r="BE78" s="922"/>
      <c r="BF78" s="922"/>
      <c r="BG78" s="922"/>
      <c r="BH78" s="922"/>
      <c r="BI78" s="922"/>
      <c r="BJ78" s="922"/>
      <c r="BK78" s="922"/>
      <c r="BL78" s="922"/>
      <c r="BM78" s="922"/>
      <c r="BN78" s="922"/>
      <c r="BO78" s="922"/>
      <c r="BP78" s="922"/>
      <c r="BQ78" s="922"/>
      <c r="BR78" s="922"/>
      <c r="BS78" s="922"/>
      <c r="BT78" s="922"/>
      <c r="BU78" s="922"/>
      <c r="BV78" s="922"/>
      <c r="BW78" s="922"/>
      <c r="BX78" s="922"/>
      <c r="BY78" s="922"/>
      <c r="BZ78" s="922"/>
      <c r="CA78" s="922"/>
      <c r="CB78" s="922"/>
      <c r="CC78" s="922"/>
      <c r="CD78" s="922"/>
      <c r="CE78" s="922"/>
      <c r="CF78" s="922"/>
      <c r="CG78" s="922"/>
      <c r="CH78" s="922"/>
      <c r="CI78" s="922"/>
      <c r="CJ78" s="922"/>
      <c r="CK78" s="922"/>
      <c r="CL78" s="922"/>
      <c r="CM78" s="922"/>
      <c r="CN78" s="922"/>
      <c r="CO78" s="922"/>
      <c r="CP78" s="922"/>
      <c r="CQ78" s="922"/>
      <c r="CR78" s="922"/>
      <c r="CS78" s="922"/>
      <c r="CT78" s="922"/>
      <c r="CU78" s="922"/>
      <c r="CV78" s="922"/>
      <c r="CW78" s="922"/>
      <c r="CX78" s="922"/>
      <c r="CY78" s="922"/>
      <c r="CZ78" s="922"/>
      <c r="DA78" s="922"/>
      <c r="DB78" s="922"/>
      <c r="DC78" s="922"/>
      <c r="DD78" s="922"/>
      <c r="DE78" s="922"/>
      <c r="DF78" s="922"/>
      <c r="DG78" s="922"/>
      <c r="DH78" s="922"/>
      <c r="DI78" s="922"/>
      <c r="DJ78" s="922"/>
      <c r="DK78" s="922"/>
      <c r="DL78" s="922"/>
      <c r="DM78" s="922"/>
      <c r="DN78" s="922"/>
      <c r="DO78" s="922"/>
      <c r="DP78" s="922"/>
      <c r="DQ78" s="922"/>
      <c r="DR78" s="922"/>
      <c r="DS78" s="922"/>
      <c r="DT78" s="922"/>
      <c r="DU78" s="922"/>
      <c r="DV78" s="922"/>
      <c r="DW78" s="922"/>
      <c r="DX78" s="922"/>
      <c r="DY78" s="922"/>
      <c r="DZ78" s="922"/>
      <c r="EA78" s="922"/>
      <c r="EB78" s="922"/>
      <c r="EC78" s="922"/>
      <c r="ED78" s="922"/>
      <c r="EE78" s="922"/>
      <c r="EF78" s="922"/>
      <c r="EG78" s="922"/>
      <c r="EH78" s="922"/>
      <c r="EI78" s="922"/>
      <c r="EJ78" s="922"/>
      <c r="EK78" s="922"/>
      <c r="EL78" s="922"/>
      <c r="EM78" s="922"/>
      <c r="EN78" s="922"/>
      <c r="EO78" s="922"/>
      <c r="EP78" s="922"/>
      <c r="EQ78" s="922"/>
      <c r="ER78" s="922"/>
      <c r="ES78" s="922"/>
      <c r="ET78" s="922"/>
      <c r="EU78" s="922"/>
      <c r="EV78" s="922"/>
      <c r="EW78" s="922"/>
    </row>
    <row r="79" spans="1:153">
      <c r="A79" s="320">
        <v>70</v>
      </c>
      <c r="B79" s="759"/>
      <c r="C79" s="759"/>
      <c r="D79" s="759"/>
      <c r="E79" s="760"/>
      <c r="F79" s="761"/>
      <c r="G79" s="761"/>
      <c r="H79" s="762"/>
      <c r="I79" s="762"/>
      <c r="J79" s="763"/>
      <c r="K79" s="763"/>
      <c r="L79" s="763"/>
      <c r="M79" s="763"/>
      <c r="N79" s="764"/>
      <c r="O79" s="761"/>
      <c r="P79" s="761"/>
      <c r="Q79" s="761"/>
      <c r="R79" s="761"/>
      <c r="S79" s="761"/>
      <c r="T79" s="761"/>
      <c r="U79" s="761"/>
      <c r="V79" s="761"/>
      <c r="W79" s="765"/>
      <c r="X79" s="766"/>
      <c r="Y79" s="766"/>
      <c r="Z79" s="766"/>
      <c r="AA79" s="766"/>
      <c r="AB79" s="766"/>
      <c r="AC79" s="766"/>
      <c r="AD79" s="920">
        <v>70</v>
      </c>
      <c r="AE79" s="922"/>
      <c r="AF79" s="922"/>
      <c r="AG79" s="922"/>
      <c r="AH79" s="922"/>
      <c r="AI79" s="922"/>
      <c r="AJ79" s="922"/>
      <c r="AK79" s="922"/>
      <c r="AL79" s="922"/>
      <c r="AM79" s="922"/>
      <c r="AN79" s="922"/>
      <c r="AO79" s="922"/>
      <c r="AP79" s="922"/>
      <c r="AQ79" s="922"/>
      <c r="AR79" s="922"/>
      <c r="AS79" s="922"/>
      <c r="AT79" s="922"/>
      <c r="AU79" s="922"/>
      <c r="AV79" s="922"/>
      <c r="AW79" s="922"/>
      <c r="AX79" s="922"/>
      <c r="AY79" s="922"/>
      <c r="AZ79" s="922"/>
      <c r="BA79" s="922"/>
      <c r="BB79" s="922"/>
      <c r="BC79" s="922"/>
      <c r="BD79" s="922"/>
      <c r="BE79" s="922"/>
      <c r="BF79" s="922"/>
      <c r="BG79" s="922"/>
      <c r="BH79" s="922"/>
      <c r="BI79" s="922"/>
      <c r="BJ79" s="922"/>
      <c r="BK79" s="922"/>
      <c r="BL79" s="922"/>
      <c r="BM79" s="922"/>
      <c r="BN79" s="922"/>
      <c r="BO79" s="922"/>
      <c r="BP79" s="922"/>
      <c r="BQ79" s="922"/>
      <c r="BR79" s="922"/>
      <c r="BS79" s="922"/>
      <c r="BT79" s="922"/>
      <c r="BU79" s="922"/>
      <c r="BV79" s="922"/>
      <c r="BW79" s="922"/>
      <c r="BX79" s="922"/>
      <c r="BY79" s="922"/>
      <c r="BZ79" s="922"/>
      <c r="CA79" s="922"/>
      <c r="CB79" s="922"/>
      <c r="CC79" s="922"/>
      <c r="CD79" s="922"/>
      <c r="CE79" s="922"/>
      <c r="CF79" s="922"/>
      <c r="CG79" s="922"/>
      <c r="CH79" s="922"/>
      <c r="CI79" s="922"/>
      <c r="CJ79" s="922"/>
      <c r="CK79" s="922"/>
      <c r="CL79" s="922"/>
      <c r="CM79" s="922"/>
      <c r="CN79" s="922"/>
      <c r="CO79" s="922"/>
      <c r="CP79" s="922"/>
      <c r="CQ79" s="922"/>
      <c r="CR79" s="922"/>
      <c r="CS79" s="922"/>
      <c r="CT79" s="922"/>
      <c r="CU79" s="922"/>
      <c r="CV79" s="922"/>
      <c r="CW79" s="922"/>
      <c r="CX79" s="922"/>
      <c r="CY79" s="922"/>
      <c r="CZ79" s="922"/>
      <c r="DA79" s="922"/>
      <c r="DB79" s="922"/>
      <c r="DC79" s="922"/>
      <c r="DD79" s="922"/>
      <c r="DE79" s="922"/>
      <c r="DF79" s="922"/>
      <c r="DG79" s="922"/>
      <c r="DH79" s="922"/>
      <c r="DI79" s="922"/>
      <c r="DJ79" s="922"/>
      <c r="DK79" s="922"/>
      <c r="DL79" s="922"/>
      <c r="DM79" s="922"/>
      <c r="DN79" s="922"/>
      <c r="DO79" s="922"/>
      <c r="DP79" s="922"/>
      <c r="DQ79" s="922"/>
      <c r="DR79" s="922"/>
      <c r="DS79" s="922"/>
      <c r="DT79" s="922"/>
      <c r="DU79" s="922"/>
      <c r="DV79" s="922"/>
      <c r="DW79" s="922"/>
      <c r="DX79" s="922"/>
      <c r="DY79" s="922"/>
      <c r="DZ79" s="922"/>
      <c r="EA79" s="922"/>
      <c r="EB79" s="922"/>
      <c r="EC79" s="922"/>
      <c r="ED79" s="922"/>
      <c r="EE79" s="922"/>
      <c r="EF79" s="922"/>
      <c r="EG79" s="922"/>
      <c r="EH79" s="922"/>
      <c r="EI79" s="922"/>
      <c r="EJ79" s="922"/>
      <c r="EK79" s="922"/>
      <c r="EL79" s="922"/>
      <c r="EM79" s="922"/>
      <c r="EN79" s="922"/>
      <c r="EO79" s="922"/>
      <c r="EP79" s="922"/>
      <c r="EQ79" s="922"/>
      <c r="ER79" s="922"/>
      <c r="ES79" s="922"/>
      <c r="ET79" s="922"/>
      <c r="EU79" s="922"/>
      <c r="EV79" s="922"/>
      <c r="EW79" s="922"/>
    </row>
    <row r="80" spans="1:153">
      <c r="A80" s="320">
        <v>71</v>
      </c>
      <c r="B80" s="759"/>
      <c r="C80" s="759"/>
      <c r="D80" s="759"/>
      <c r="E80" s="760"/>
      <c r="F80" s="761"/>
      <c r="G80" s="761"/>
      <c r="H80" s="762"/>
      <c r="I80" s="762"/>
      <c r="J80" s="763"/>
      <c r="K80" s="763"/>
      <c r="L80" s="763"/>
      <c r="M80" s="763"/>
      <c r="N80" s="764"/>
      <c r="O80" s="761"/>
      <c r="P80" s="761"/>
      <c r="Q80" s="761"/>
      <c r="R80" s="761"/>
      <c r="S80" s="761"/>
      <c r="T80" s="761"/>
      <c r="U80" s="761"/>
      <c r="V80" s="761"/>
      <c r="W80" s="765"/>
      <c r="X80" s="766"/>
      <c r="Y80" s="766"/>
      <c r="Z80" s="766"/>
      <c r="AA80" s="766"/>
      <c r="AB80" s="766"/>
      <c r="AC80" s="766"/>
      <c r="AD80" s="920">
        <v>71</v>
      </c>
      <c r="AE80" s="922"/>
      <c r="AF80" s="922"/>
      <c r="AG80" s="922"/>
      <c r="AH80" s="922"/>
      <c r="AI80" s="922"/>
      <c r="AJ80" s="922"/>
      <c r="AK80" s="922"/>
      <c r="AL80" s="922"/>
      <c r="AM80" s="922"/>
      <c r="AN80" s="922"/>
      <c r="AO80" s="922"/>
      <c r="AP80" s="922"/>
      <c r="AQ80" s="922"/>
      <c r="AR80" s="922"/>
      <c r="AS80" s="922"/>
      <c r="AT80" s="922"/>
      <c r="AU80" s="922"/>
      <c r="AV80" s="922"/>
      <c r="AW80" s="922"/>
      <c r="AX80" s="922"/>
      <c r="AY80" s="922"/>
      <c r="AZ80" s="922"/>
      <c r="BA80" s="922"/>
      <c r="BB80" s="922"/>
      <c r="BC80" s="922"/>
      <c r="BD80" s="922"/>
      <c r="BE80" s="922"/>
      <c r="BF80" s="922"/>
      <c r="BG80" s="922"/>
      <c r="BH80" s="922"/>
      <c r="BI80" s="922"/>
      <c r="BJ80" s="922"/>
      <c r="BK80" s="922"/>
      <c r="BL80" s="922"/>
      <c r="BM80" s="922"/>
      <c r="BN80" s="922"/>
      <c r="BO80" s="922"/>
      <c r="BP80" s="922"/>
      <c r="BQ80" s="922"/>
      <c r="BR80" s="922"/>
      <c r="BS80" s="922"/>
      <c r="BT80" s="922"/>
      <c r="BU80" s="922"/>
      <c r="BV80" s="922"/>
      <c r="BW80" s="922"/>
      <c r="BX80" s="922"/>
      <c r="BY80" s="922"/>
      <c r="BZ80" s="922"/>
      <c r="CA80" s="922"/>
      <c r="CB80" s="922"/>
      <c r="CC80" s="922"/>
      <c r="CD80" s="922"/>
      <c r="CE80" s="922"/>
      <c r="CF80" s="922"/>
      <c r="CG80" s="922"/>
      <c r="CH80" s="922"/>
      <c r="CI80" s="922"/>
      <c r="CJ80" s="922"/>
      <c r="CK80" s="922"/>
      <c r="CL80" s="922"/>
      <c r="CM80" s="922"/>
      <c r="CN80" s="922"/>
      <c r="CO80" s="922"/>
      <c r="CP80" s="922"/>
      <c r="CQ80" s="922"/>
      <c r="CR80" s="922"/>
      <c r="CS80" s="922"/>
      <c r="CT80" s="922"/>
      <c r="CU80" s="922"/>
      <c r="CV80" s="922"/>
      <c r="CW80" s="922"/>
      <c r="CX80" s="922"/>
      <c r="CY80" s="922"/>
      <c r="CZ80" s="922"/>
      <c r="DA80" s="922"/>
      <c r="DB80" s="922"/>
      <c r="DC80" s="922"/>
      <c r="DD80" s="922"/>
      <c r="DE80" s="922"/>
      <c r="DF80" s="922"/>
      <c r="DG80" s="922"/>
      <c r="DH80" s="922"/>
      <c r="DI80" s="922"/>
      <c r="DJ80" s="922"/>
      <c r="DK80" s="922"/>
      <c r="DL80" s="922"/>
      <c r="DM80" s="922"/>
      <c r="DN80" s="922"/>
      <c r="DO80" s="922"/>
      <c r="DP80" s="922"/>
      <c r="DQ80" s="922"/>
      <c r="DR80" s="922"/>
      <c r="DS80" s="922"/>
      <c r="DT80" s="922"/>
      <c r="DU80" s="922"/>
      <c r="DV80" s="922"/>
      <c r="DW80" s="922"/>
      <c r="DX80" s="922"/>
      <c r="DY80" s="922"/>
      <c r="DZ80" s="922"/>
      <c r="EA80" s="922"/>
      <c r="EB80" s="922"/>
      <c r="EC80" s="922"/>
      <c r="ED80" s="922"/>
      <c r="EE80" s="922"/>
      <c r="EF80" s="922"/>
      <c r="EG80" s="922"/>
      <c r="EH80" s="922"/>
      <c r="EI80" s="922"/>
      <c r="EJ80" s="922"/>
      <c r="EK80" s="922"/>
      <c r="EL80" s="922"/>
      <c r="EM80" s="922"/>
      <c r="EN80" s="922"/>
      <c r="EO80" s="922"/>
      <c r="EP80" s="922"/>
      <c r="EQ80" s="922"/>
      <c r="ER80" s="922"/>
      <c r="ES80" s="922"/>
      <c r="ET80" s="922"/>
      <c r="EU80" s="922"/>
      <c r="EV80" s="922"/>
      <c r="EW80" s="922"/>
    </row>
    <row r="81" spans="1:153">
      <c r="A81" s="320">
        <v>72</v>
      </c>
      <c r="B81" s="759"/>
      <c r="C81" s="759"/>
      <c r="D81" s="759"/>
      <c r="E81" s="760"/>
      <c r="F81" s="761"/>
      <c r="G81" s="761"/>
      <c r="H81" s="762"/>
      <c r="I81" s="762"/>
      <c r="J81" s="763"/>
      <c r="K81" s="763"/>
      <c r="L81" s="763"/>
      <c r="M81" s="763"/>
      <c r="N81" s="764"/>
      <c r="O81" s="761"/>
      <c r="P81" s="761"/>
      <c r="Q81" s="761"/>
      <c r="R81" s="761"/>
      <c r="S81" s="761"/>
      <c r="T81" s="761"/>
      <c r="U81" s="761"/>
      <c r="V81" s="761"/>
      <c r="W81" s="765"/>
      <c r="X81" s="766"/>
      <c r="Y81" s="766"/>
      <c r="Z81" s="766"/>
      <c r="AA81" s="766"/>
      <c r="AB81" s="766"/>
      <c r="AC81" s="766"/>
      <c r="AD81" s="920">
        <v>72</v>
      </c>
      <c r="AE81" s="922"/>
      <c r="AF81" s="922"/>
      <c r="AG81" s="922"/>
      <c r="AH81" s="922"/>
      <c r="AI81" s="922"/>
      <c r="AJ81" s="922"/>
      <c r="AK81" s="922"/>
      <c r="AL81" s="922"/>
      <c r="AM81" s="922"/>
      <c r="AN81" s="922"/>
      <c r="AO81" s="922"/>
      <c r="AP81" s="922"/>
      <c r="AQ81" s="922"/>
      <c r="AR81" s="922"/>
      <c r="AS81" s="922"/>
      <c r="AT81" s="922"/>
      <c r="AU81" s="922"/>
      <c r="AV81" s="922"/>
      <c r="AW81" s="922"/>
      <c r="AX81" s="922"/>
      <c r="AY81" s="922"/>
      <c r="AZ81" s="922"/>
      <c r="BA81" s="922"/>
      <c r="BB81" s="922"/>
      <c r="BC81" s="922"/>
      <c r="BD81" s="922"/>
      <c r="BE81" s="922"/>
      <c r="BF81" s="922"/>
      <c r="BG81" s="922"/>
      <c r="BH81" s="922"/>
      <c r="BI81" s="922"/>
      <c r="BJ81" s="922"/>
      <c r="BK81" s="922"/>
      <c r="BL81" s="922"/>
      <c r="BM81" s="922"/>
      <c r="BN81" s="922"/>
      <c r="BO81" s="922"/>
      <c r="BP81" s="922"/>
      <c r="BQ81" s="922"/>
      <c r="BR81" s="922"/>
      <c r="BS81" s="922"/>
      <c r="BT81" s="922"/>
      <c r="BU81" s="922"/>
      <c r="BV81" s="922"/>
      <c r="BW81" s="922"/>
      <c r="BX81" s="922"/>
      <c r="BY81" s="922"/>
      <c r="BZ81" s="922"/>
      <c r="CA81" s="922"/>
      <c r="CB81" s="922"/>
      <c r="CC81" s="922"/>
      <c r="CD81" s="922"/>
      <c r="CE81" s="922"/>
      <c r="CF81" s="922"/>
      <c r="CG81" s="922"/>
      <c r="CH81" s="922"/>
      <c r="CI81" s="922"/>
      <c r="CJ81" s="922"/>
      <c r="CK81" s="922"/>
      <c r="CL81" s="922"/>
      <c r="CM81" s="922"/>
      <c r="CN81" s="922"/>
      <c r="CO81" s="922"/>
      <c r="CP81" s="922"/>
      <c r="CQ81" s="922"/>
      <c r="CR81" s="922"/>
      <c r="CS81" s="922"/>
      <c r="CT81" s="922"/>
      <c r="CU81" s="922"/>
      <c r="CV81" s="922"/>
      <c r="CW81" s="922"/>
      <c r="CX81" s="922"/>
      <c r="CY81" s="922"/>
      <c r="CZ81" s="922"/>
      <c r="DA81" s="922"/>
      <c r="DB81" s="922"/>
      <c r="DC81" s="922"/>
      <c r="DD81" s="922"/>
      <c r="DE81" s="922"/>
      <c r="DF81" s="922"/>
      <c r="DG81" s="922"/>
      <c r="DH81" s="922"/>
      <c r="DI81" s="922"/>
      <c r="DJ81" s="922"/>
      <c r="DK81" s="922"/>
      <c r="DL81" s="922"/>
      <c r="DM81" s="922"/>
      <c r="DN81" s="922"/>
      <c r="DO81" s="922"/>
      <c r="DP81" s="922"/>
      <c r="DQ81" s="922"/>
      <c r="DR81" s="922"/>
      <c r="DS81" s="922"/>
      <c r="DT81" s="922"/>
      <c r="DU81" s="922"/>
      <c r="DV81" s="922"/>
      <c r="DW81" s="922"/>
      <c r="DX81" s="922"/>
      <c r="DY81" s="922"/>
      <c r="DZ81" s="922"/>
      <c r="EA81" s="922"/>
      <c r="EB81" s="922"/>
      <c r="EC81" s="922"/>
      <c r="ED81" s="922"/>
      <c r="EE81" s="922"/>
      <c r="EF81" s="922"/>
      <c r="EG81" s="922"/>
      <c r="EH81" s="922"/>
      <c r="EI81" s="922"/>
      <c r="EJ81" s="922"/>
      <c r="EK81" s="922"/>
      <c r="EL81" s="922"/>
      <c r="EM81" s="922"/>
      <c r="EN81" s="922"/>
      <c r="EO81" s="922"/>
      <c r="EP81" s="922"/>
      <c r="EQ81" s="922"/>
      <c r="ER81" s="922"/>
      <c r="ES81" s="922"/>
      <c r="ET81" s="922"/>
      <c r="EU81" s="922"/>
      <c r="EV81" s="922"/>
      <c r="EW81" s="922"/>
    </row>
    <row r="82" spans="1:153">
      <c r="A82" s="320">
        <v>73</v>
      </c>
      <c r="B82" s="759"/>
      <c r="C82" s="759"/>
      <c r="D82" s="759"/>
      <c r="E82" s="760"/>
      <c r="F82" s="761"/>
      <c r="G82" s="761"/>
      <c r="H82" s="762"/>
      <c r="I82" s="762"/>
      <c r="J82" s="763"/>
      <c r="K82" s="763"/>
      <c r="L82" s="763"/>
      <c r="M82" s="763"/>
      <c r="N82" s="764"/>
      <c r="O82" s="761"/>
      <c r="P82" s="761"/>
      <c r="Q82" s="761"/>
      <c r="R82" s="761"/>
      <c r="S82" s="761"/>
      <c r="T82" s="761"/>
      <c r="U82" s="761"/>
      <c r="V82" s="761"/>
      <c r="W82" s="765"/>
      <c r="X82" s="766"/>
      <c r="Y82" s="766"/>
      <c r="Z82" s="766"/>
      <c r="AA82" s="766"/>
      <c r="AB82" s="766"/>
      <c r="AC82" s="766"/>
      <c r="AD82" s="920">
        <v>73</v>
      </c>
      <c r="AE82" s="922"/>
      <c r="AF82" s="922"/>
      <c r="AG82" s="922"/>
      <c r="AH82" s="922"/>
      <c r="AI82" s="922"/>
      <c r="AJ82" s="922"/>
      <c r="AK82" s="922"/>
      <c r="AL82" s="922"/>
      <c r="AM82" s="922"/>
      <c r="AN82" s="922"/>
      <c r="AO82" s="922"/>
      <c r="AP82" s="922"/>
      <c r="AQ82" s="922"/>
      <c r="AR82" s="922"/>
      <c r="AS82" s="922"/>
      <c r="AT82" s="922"/>
      <c r="AU82" s="922"/>
      <c r="AV82" s="922"/>
      <c r="AW82" s="922"/>
      <c r="AX82" s="922"/>
      <c r="AY82" s="922"/>
      <c r="AZ82" s="922"/>
      <c r="BA82" s="922"/>
      <c r="BB82" s="922"/>
      <c r="BC82" s="922"/>
      <c r="BD82" s="922"/>
      <c r="BE82" s="922"/>
      <c r="BF82" s="922"/>
      <c r="BG82" s="922"/>
      <c r="BH82" s="922"/>
      <c r="BI82" s="922"/>
      <c r="BJ82" s="922"/>
      <c r="BK82" s="922"/>
      <c r="BL82" s="922"/>
      <c r="BM82" s="922"/>
      <c r="BN82" s="922"/>
      <c r="BO82" s="922"/>
      <c r="BP82" s="922"/>
      <c r="BQ82" s="922"/>
      <c r="BR82" s="922"/>
      <c r="BS82" s="922"/>
      <c r="BT82" s="922"/>
      <c r="BU82" s="922"/>
      <c r="BV82" s="922"/>
      <c r="BW82" s="922"/>
      <c r="BX82" s="922"/>
      <c r="BY82" s="922"/>
      <c r="BZ82" s="922"/>
      <c r="CA82" s="922"/>
      <c r="CB82" s="922"/>
      <c r="CC82" s="922"/>
      <c r="CD82" s="922"/>
      <c r="CE82" s="922"/>
      <c r="CF82" s="922"/>
      <c r="CG82" s="922"/>
      <c r="CH82" s="922"/>
      <c r="CI82" s="922"/>
      <c r="CJ82" s="922"/>
      <c r="CK82" s="922"/>
      <c r="CL82" s="922"/>
      <c r="CM82" s="922"/>
      <c r="CN82" s="922"/>
      <c r="CO82" s="922"/>
      <c r="CP82" s="922"/>
      <c r="CQ82" s="922"/>
      <c r="CR82" s="922"/>
      <c r="CS82" s="922"/>
      <c r="CT82" s="922"/>
      <c r="CU82" s="922"/>
      <c r="CV82" s="922"/>
      <c r="CW82" s="922"/>
      <c r="CX82" s="922"/>
      <c r="CY82" s="922"/>
      <c r="CZ82" s="922"/>
      <c r="DA82" s="922"/>
      <c r="DB82" s="922"/>
      <c r="DC82" s="922"/>
      <c r="DD82" s="922"/>
      <c r="DE82" s="922"/>
      <c r="DF82" s="922"/>
      <c r="DG82" s="922"/>
      <c r="DH82" s="922"/>
      <c r="DI82" s="922"/>
      <c r="DJ82" s="922"/>
      <c r="DK82" s="922"/>
      <c r="DL82" s="922"/>
      <c r="DM82" s="922"/>
      <c r="DN82" s="922"/>
      <c r="DO82" s="922"/>
      <c r="DP82" s="922"/>
      <c r="DQ82" s="922"/>
      <c r="DR82" s="922"/>
      <c r="DS82" s="922"/>
      <c r="DT82" s="922"/>
      <c r="DU82" s="922"/>
      <c r="DV82" s="922"/>
      <c r="DW82" s="922"/>
      <c r="DX82" s="922"/>
      <c r="DY82" s="922"/>
      <c r="DZ82" s="922"/>
      <c r="EA82" s="922"/>
      <c r="EB82" s="922"/>
      <c r="EC82" s="922"/>
      <c r="ED82" s="922"/>
      <c r="EE82" s="922"/>
      <c r="EF82" s="922"/>
      <c r="EG82" s="922"/>
      <c r="EH82" s="922"/>
      <c r="EI82" s="922"/>
      <c r="EJ82" s="922"/>
      <c r="EK82" s="922"/>
      <c r="EL82" s="922"/>
      <c r="EM82" s="922"/>
      <c r="EN82" s="922"/>
      <c r="EO82" s="922"/>
      <c r="EP82" s="922"/>
      <c r="EQ82" s="922"/>
      <c r="ER82" s="922"/>
      <c r="ES82" s="922"/>
      <c r="ET82" s="922"/>
      <c r="EU82" s="922"/>
      <c r="EV82" s="922"/>
      <c r="EW82" s="922"/>
    </row>
    <row r="83" spans="1:153">
      <c r="A83" s="320">
        <v>74</v>
      </c>
      <c r="B83" s="759"/>
      <c r="C83" s="759"/>
      <c r="D83" s="759"/>
      <c r="E83" s="760"/>
      <c r="F83" s="761"/>
      <c r="G83" s="761"/>
      <c r="H83" s="762"/>
      <c r="I83" s="762"/>
      <c r="J83" s="763"/>
      <c r="K83" s="763"/>
      <c r="L83" s="763"/>
      <c r="M83" s="763"/>
      <c r="N83" s="764"/>
      <c r="O83" s="761"/>
      <c r="P83" s="761"/>
      <c r="Q83" s="761"/>
      <c r="R83" s="761"/>
      <c r="S83" s="761"/>
      <c r="T83" s="761"/>
      <c r="U83" s="761"/>
      <c r="V83" s="761"/>
      <c r="W83" s="765"/>
      <c r="X83" s="766"/>
      <c r="Y83" s="766"/>
      <c r="Z83" s="766"/>
      <c r="AA83" s="766"/>
      <c r="AB83" s="766"/>
      <c r="AC83" s="766"/>
      <c r="AD83" s="920">
        <v>74</v>
      </c>
      <c r="AE83" s="922"/>
      <c r="AF83" s="922"/>
      <c r="AG83" s="922"/>
      <c r="AH83" s="922"/>
      <c r="AI83" s="922"/>
      <c r="AJ83" s="922"/>
      <c r="AK83" s="922"/>
      <c r="AL83" s="922"/>
      <c r="AM83" s="922"/>
      <c r="AN83" s="922"/>
      <c r="AO83" s="922"/>
      <c r="AP83" s="922"/>
      <c r="AQ83" s="922"/>
      <c r="AR83" s="922"/>
      <c r="AS83" s="922"/>
      <c r="AT83" s="922"/>
      <c r="AU83" s="922"/>
      <c r="AV83" s="922"/>
      <c r="AW83" s="922"/>
      <c r="AX83" s="922"/>
      <c r="AY83" s="922"/>
      <c r="AZ83" s="922"/>
      <c r="BA83" s="922"/>
      <c r="BB83" s="922"/>
      <c r="BC83" s="922"/>
      <c r="BD83" s="922"/>
      <c r="BE83" s="922"/>
      <c r="BF83" s="922"/>
      <c r="BG83" s="922"/>
      <c r="BH83" s="922"/>
      <c r="BI83" s="922"/>
      <c r="BJ83" s="922"/>
      <c r="BK83" s="922"/>
      <c r="BL83" s="922"/>
      <c r="BM83" s="922"/>
      <c r="BN83" s="922"/>
      <c r="BO83" s="922"/>
      <c r="BP83" s="922"/>
      <c r="BQ83" s="922"/>
      <c r="BR83" s="922"/>
      <c r="BS83" s="922"/>
      <c r="BT83" s="922"/>
      <c r="BU83" s="922"/>
      <c r="BV83" s="922"/>
      <c r="BW83" s="922"/>
      <c r="BX83" s="922"/>
      <c r="BY83" s="922"/>
      <c r="BZ83" s="922"/>
      <c r="CA83" s="922"/>
      <c r="CB83" s="922"/>
      <c r="CC83" s="922"/>
      <c r="CD83" s="922"/>
      <c r="CE83" s="922"/>
      <c r="CF83" s="922"/>
      <c r="CG83" s="922"/>
      <c r="CH83" s="922"/>
      <c r="CI83" s="922"/>
      <c r="CJ83" s="922"/>
      <c r="CK83" s="922"/>
      <c r="CL83" s="922"/>
      <c r="CM83" s="922"/>
      <c r="CN83" s="922"/>
      <c r="CO83" s="922"/>
      <c r="CP83" s="922"/>
      <c r="CQ83" s="922"/>
      <c r="CR83" s="922"/>
      <c r="CS83" s="922"/>
      <c r="CT83" s="922"/>
      <c r="CU83" s="922"/>
      <c r="CV83" s="922"/>
      <c r="CW83" s="922"/>
      <c r="CX83" s="922"/>
      <c r="CY83" s="922"/>
      <c r="CZ83" s="922"/>
      <c r="DA83" s="922"/>
      <c r="DB83" s="922"/>
      <c r="DC83" s="922"/>
      <c r="DD83" s="922"/>
      <c r="DE83" s="922"/>
      <c r="DF83" s="922"/>
      <c r="DG83" s="922"/>
      <c r="DH83" s="922"/>
      <c r="DI83" s="922"/>
      <c r="DJ83" s="922"/>
      <c r="DK83" s="922"/>
      <c r="DL83" s="922"/>
      <c r="DM83" s="922"/>
      <c r="DN83" s="922"/>
      <c r="DO83" s="922"/>
      <c r="DP83" s="922"/>
      <c r="DQ83" s="922"/>
      <c r="DR83" s="922"/>
      <c r="DS83" s="922"/>
      <c r="DT83" s="922"/>
      <c r="DU83" s="922"/>
      <c r="DV83" s="922"/>
      <c r="DW83" s="922"/>
      <c r="DX83" s="922"/>
      <c r="DY83" s="922"/>
      <c r="DZ83" s="922"/>
      <c r="EA83" s="922"/>
      <c r="EB83" s="922"/>
      <c r="EC83" s="922"/>
      <c r="ED83" s="922"/>
      <c r="EE83" s="922"/>
      <c r="EF83" s="922"/>
      <c r="EG83" s="922"/>
      <c r="EH83" s="922"/>
      <c r="EI83" s="922"/>
      <c r="EJ83" s="922"/>
      <c r="EK83" s="922"/>
      <c r="EL83" s="922"/>
      <c r="EM83" s="922"/>
      <c r="EN83" s="922"/>
      <c r="EO83" s="922"/>
      <c r="EP83" s="922"/>
      <c r="EQ83" s="922"/>
      <c r="ER83" s="922"/>
      <c r="ES83" s="922"/>
      <c r="ET83" s="922"/>
      <c r="EU83" s="922"/>
      <c r="EV83" s="922"/>
      <c r="EW83" s="922"/>
    </row>
    <row r="84" spans="1:153">
      <c r="A84" s="320">
        <v>75</v>
      </c>
      <c r="B84" s="759"/>
      <c r="C84" s="759"/>
      <c r="D84" s="759"/>
      <c r="E84" s="760"/>
      <c r="F84" s="761"/>
      <c r="G84" s="761"/>
      <c r="H84" s="762"/>
      <c r="I84" s="762"/>
      <c r="J84" s="763"/>
      <c r="K84" s="763"/>
      <c r="L84" s="763"/>
      <c r="M84" s="763"/>
      <c r="N84" s="764"/>
      <c r="O84" s="761"/>
      <c r="P84" s="761"/>
      <c r="Q84" s="761"/>
      <c r="R84" s="761"/>
      <c r="S84" s="761"/>
      <c r="T84" s="761"/>
      <c r="U84" s="761"/>
      <c r="V84" s="761"/>
      <c r="W84" s="765"/>
      <c r="X84" s="766"/>
      <c r="Y84" s="766"/>
      <c r="Z84" s="766"/>
      <c r="AA84" s="766"/>
      <c r="AB84" s="766"/>
      <c r="AC84" s="766"/>
      <c r="AD84" s="920">
        <v>75</v>
      </c>
      <c r="AE84" s="922"/>
      <c r="AF84" s="922"/>
      <c r="AG84" s="922"/>
      <c r="AH84" s="922"/>
      <c r="AI84" s="922"/>
      <c r="AJ84" s="922"/>
      <c r="AK84" s="922"/>
      <c r="AL84" s="922"/>
      <c r="AM84" s="922"/>
      <c r="AN84" s="922"/>
      <c r="AO84" s="922"/>
      <c r="AP84" s="922"/>
      <c r="AQ84" s="922"/>
      <c r="AR84" s="922"/>
      <c r="AS84" s="922"/>
      <c r="AT84" s="922"/>
      <c r="AU84" s="922"/>
      <c r="AV84" s="922"/>
      <c r="AW84" s="922"/>
      <c r="AX84" s="922"/>
      <c r="AY84" s="922"/>
      <c r="AZ84" s="922"/>
      <c r="BA84" s="922"/>
      <c r="BB84" s="922"/>
      <c r="BC84" s="922"/>
      <c r="BD84" s="922"/>
      <c r="BE84" s="922"/>
      <c r="BF84" s="922"/>
      <c r="BG84" s="922"/>
      <c r="BH84" s="922"/>
      <c r="BI84" s="922"/>
      <c r="BJ84" s="922"/>
      <c r="BK84" s="922"/>
      <c r="BL84" s="922"/>
      <c r="BM84" s="922"/>
      <c r="BN84" s="922"/>
      <c r="BO84" s="922"/>
      <c r="BP84" s="922"/>
      <c r="BQ84" s="922"/>
      <c r="BR84" s="922"/>
      <c r="BS84" s="922"/>
      <c r="BT84" s="922"/>
      <c r="BU84" s="922"/>
      <c r="BV84" s="922"/>
      <c r="BW84" s="922"/>
      <c r="BX84" s="922"/>
      <c r="BY84" s="922"/>
      <c r="BZ84" s="922"/>
      <c r="CA84" s="922"/>
      <c r="CB84" s="922"/>
      <c r="CC84" s="922"/>
      <c r="CD84" s="922"/>
      <c r="CE84" s="922"/>
      <c r="CF84" s="922"/>
      <c r="CG84" s="922"/>
      <c r="CH84" s="922"/>
      <c r="CI84" s="922"/>
      <c r="CJ84" s="922"/>
      <c r="CK84" s="922"/>
      <c r="CL84" s="922"/>
      <c r="CM84" s="922"/>
      <c r="CN84" s="922"/>
      <c r="CO84" s="922"/>
      <c r="CP84" s="922"/>
      <c r="CQ84" s="922"/>
      <c r="CR84" s="922"/>
      <c r="CS84" s="922"/>
      <c r="CT84" s="922"/>
      <c r="CU84" s="922"/>
      <c r="CV84" s="922"/>
      <c r="CW84" s="922"/>
      <c r="CX84" s="922"/>
      <c r="CY84" s="922"/>
      <c r="CZ84" s="922"/>
      <c r="DA84" s="922"/>
      <c r="DB84" s="922"/>
      <c r="DC84" s="922"/>
      <c r="DD84" s="922"/>
      <c r="DE84" s="922"/>
      <c r="DF84" s="922"/>
      <c r="DG84" s="922"/>
      <c r="DH84" s="922"/>
      <c r="DI84" s="922"/>
      <c r="DJ84" s="922"/>
      <c r="DK84" s="922"/>
      <c r="DL84" s="922"/>
      <c r="DM84" s="922"/>
      <c r="DN84" s="922"/>
      <c r="DO84" s="922"/>
      <c r="DP84" s="922"/>
      <c r="DQ84" s="922"/>
      <c r="DR84" s="922"/>
      <c r="DS84" s="922"/>
      <c r="DT84" s="922"/>
      <c r="DU84" s="922"/>
      <c r="DV84" s="922"/>
      <c r="DW84" s="922"/>
      <c r="DX84" s="922"/>
      <c r="DY84" s="922"/>
      <c r="DZ84" s="922"/>
      <c r="EA84" s="922"/>
      <c r="EB84" s="922"/>
      <c r="EC84" s="922"/>
      <c r="ED84" s="922"/>
      <c r="EE84" s="922"/>
      <c r="EF84" s="922"/>
      <c r="EG84" s="922"/>
      <c r="EH84" s="922"/>
      <c r="EI84" s="922"/>
      <c r="EJ84" s="922"/>
      <c r="EK84" s="922"/>
      <c r="EL84" s="922"/>
      <c r="EM84" s="922"/>
      <c r="EN84" s="922"/>
      <c r="EO84" s="922"/>
      <c r="EP84" s="922"/>
      <c r="EQ84" s="922"/>
      <c r="ER84" s="922"/>
      <c r="ES84" s="922"/>
      <c r="ET84" s="922"/>
      <c r="EU84" s="922"/>
      <c r="EV84" s="922"/>
      <c r="EW84" s="922"/>
    </row>
    <row r="85" spans="1:153">
      <c r="A85" s="320">
        <v>76</v>
      </c>
      <c r="B85" s="759"/>
      <c r="C85" s="759"/>
      <c r="D85" s="759"/>
      <c r="E85" s="760"/>
      <c r="F85" s="761"/>
      <c r="G85" s="761"/>
      <c r="H85" s="762"/>
      <c r="I85" s="762"/>
      <c r="J85" s="763"/>
      <c r="K85" s="763"/>
      <c r="L85" s="763"/>
      <c r="M85" s="763"/>
      <c r="N85" s="764"/>
      <c r="O85" s="761"/>
      <c r="P85" s="761"/>
      <c r="Q85" s="761"/>
      <c r="R85" s="761"/>
      <c r="S85" s="761"/>
      <c r="T85" s="761"/>
      <c r="U85" s="761"/>
      <c r="V85" s="761"/>
      <c r="W85" s="765"/>
      <c r="X85" s="766"/>
      <c r="Y85" s="766"/>
      <c r="Z85" s="766"/>
      <c r="AA85" s="766"/>
      <c r="AB85" s="766"/>
      <c r="AC85" s="766"/>
      <c r="AD85" s="920">
        <v>76</v>
      </c>
      <c r="AE85" s="922"/>
      <c r="AF85" s="922"/>
      <c r="AG85" s="922"/>
      <c r="AH85" s="922"/>
      <c r="AI85" s="922"/>
      <c r="AJ85" s="922"/>
      <c r="AK85" s="922"/>
      <c r="AL85" s="922"/>
      <c r="AM85" s="922"/>
      <c r="AN85" s="922"/>
      <c r="AO85" s="922"/>
      <c r="AP85" s="922"/>
      <c r="AQ85" s="922"/>
      <c r="AR85" s="922"/>
      <c r="AS85" s="922"/>
      <c r="AT85" s="922"/>
      <c r="AU85" s="922"/>
      <c r="AV85" s="922"/>
      <c r="AW85" s="922"/>
      <c r="AX85" s="922"/>
      <c r="AY85" s="922"/>
      <c r="AZ85" s="922"/>
      <c r="BA85" s="922"/>
      <c r="BB85" s="922"/>
      <c r="BC85" s="922"/>
      <c r="BD85" s="922"/>
      <c r="BE85" s="922"/>
      <c r="BF85" s="922"/>
      <c r="BG85" s="922"/>
      <c r="BH85" s="922"/>
      <c r="BI85" s="922"/>
      <c r="BJ85" s="922"/>
      <c r="BK85" s="922"/>
      <c r="BL85" s="922"/>
      <c r="BM85" s="922"/>
      <c r="BN85" s="922"/>
      <c r="BO85" s="922"/>
      <c r="BP85" s="922"/>
      <c r="BQ85" s="922"/>
      <c r="BR85" s="922"/>
      <c r="BS85" s="922"/>
      <c r="BT85" s="922"/>
      <c r="BU85" s="922"/>
      <c r="BV85" s="922"/>
      <c r="BW85" s="922"/>
      <c r="BX85" s="922"/>
      <c r="BY85" s="922"/>
      <c r="BZ85" s="922"/>
      <c r="CA85" s="922"/>
      <c r="CB85" s="922"/>
      <c r="CC85" s="922"/>
      <c r="CD85" s="922"/>
      <c r="CE85" s="922"/>
      <c r="CF85" s="922"/>
      <c r="CG85" s="922"/>
      <c r="CH85" s="922"/>
      <c r="CI85" s="922"/>
      <c r="CJ85" s="922"/>
      <c r="CK85" s="922"/>
      <c r="CL85" s="922"/>
      <c r="CM85" s="922"/>
      <c r="CN85" s="922"/>
      <c r="CO85" s="922"/>
      <c r="CP85" s="922"/>
      <c r="CQ85" s="922"/>
      <c r="CR85" s="922"/>
      <c r="CS85" s="922"/>
      <c r="CT85" s="922"/>
      <c r="CU85" s="922"/>
      <c r="CV85" s="922"/>
      <c r="CW85" s="922"/>
      <c r="CX85" s="922"/>
      <c r="CY85" s="922"/>
      <c r="CZ85" s="922"/>
      <c r="DA85" s="922"/>
      <c r="DB85" s="922"/>
      <c r="DC85" s="922"/>
      <c r="DD85" s="922"/>
      <c r="DE85" s="922"/>
      <c r="DF85" s="922"/>
      <c r="DG85" s="922"/>
      <c r="DH85" s="922"/>
      <c r="DI85" s="922"/>
      <c r="DJ85" s="922"/>
      <c r="DK85" s="922"/>
      <c r="DL85" s="922"/>
      <c r="DM85" s="922"/>
      <c r="DN85" s="922"/>
      <c r="DO85" s="922"/>
      <c r="DP85" s="922"/>
      <c r="DQ85" s="922"/>
      <c r="DR85" s="922"/>
      <c r="DS85" s="922"/>
      <c r="DT85" s="922"/>
      <c r="DU85" s="922"/>
      <c r="DV85" s="922"/>
      <c r="DW85" s="922"/>
      <c r="DX85" s="922"/>
      <c r="DY85" s="922"/>
      <c r="DZ85" s="922"/>
      <c r="EA85" s="922"/>
      <c r="EB85" s="922"/>
      <c r="EC85" s="922"/>
      <c r="ED85" s="922"/>
      <c r="EE85" s="922"/>
      <c r="EF85" s="922"/>
      <c r="EG85" s="922"/>
      <c r="EH85" s="922"/>
      <c r="EI85" s="922"/>
      <c r="EJ85" s="922"/>
      <c r="EK85" s="922"/>
      <c r="EL85" s="922"/>
      <c r="EM85" s="922"/>
      <c r="EN85" s="922"/>
      <c r="EO85" s="922"/>
      <c r="EP85" s="922"/>
      <c r="EQ85" s="922"/>
      <c r="ER85" s="922"/>
      <c r="ES85" s="922"/>
      <c r="ET85" s="922"/>
      <c r="EU85" s="922"/>
      <c r="EV85" s="922"/>
      <c r="EW85" s="922"/>
    </row>
    <row r="86" spans="1:153">
      <c r="A86" s="320">
        <v>77</v>
      </c>
      <c r="B86" s="759"/>
      <c r="C86" s="759"/>
      <c r="D86" s="759"/>
      <c r="E86" s="760"/>
      <c r="F86" s="761"/>
      <c r="G86" s="761"/>
      <c r="H86" s="762"/>
      <c r="I86" s="762"/>
      <c r="J86" s="763"/>
      <c r="K86" s="763"/>
      <c r="L86" s="763"/>
      <c r="M86" s="763"/>
      <c r="N86" s="764"/>
      <c r="O86" s="761"/>
      <c r="P86" s="761"/>
      <c r="Q86" s="761"/>
      <c r="R86" s="761"/>
      <c r="S86" s="761"/>
      <c r="T86" s="761"/>
      <c r="U86" s="761"/>
      <c r="V86" s="761"/>
      <c r="W86" s="765"/>
      <c r="X86" s="766"/>
      <c r="Y86" s="766"/>
      <c r="Z86" s="766"/>
      <c r="AA86" s="766"/>
      <c r="AB86" s="766"/>
      <c r="AC86" s="766"/>
      <c r="AD86" s="920">
        <v>77</v>
      </c>
      <c r="AE86" s="922"/>
      <c r="AF86" s="922"/>
      <c r="AG86" s="922"/>
      <c r="AH86" s="922"/>
      <c r="AI86" s="922"/>
      <c r="AJ86" s="922"/>
      <c r="AK86" s="922"/>
      <c r="AL86" s="922"/>
      <c r="AM86" s="922"/>
      <c r="AN86" s="922"/>
      <c r="AO86" s="922"/>
      <c r="AP86" s="922"/>
      <c r="AQ86" s="922"/>
      <c r="AR86" s="922"/>
      <c r="AS86" s="922"/>
      <c r="AT86" s="922"/>
      <c r="AU86" s="922"/>
      <c r="AV86" s="922"/>
      <c r="AW86" s="922"/>
      <c r="AX86" s="922"/>
      <c r="AY86" s="922"/>
      <c r="AZ86" s="922"/>
      <c r="BA86" s="922"/>
      <c r="BB86" s="922"/>
      <c r="BC86" s="922"/>
      <c r="BD86" s="922"/>
      <c r="BE86" s="922"/>
      <c r="BF86" s="922"/>
      <c r="BG86" s="922"/>
      <c r="BH86" s="922"/>
      <c r="BI86" s="922"/>
      <c r="BJ86" s="922"/>
      <c r="BK86" s="922"/>
      <c r="BL86" s="922"/>
      <c r="BM86" s="922"/>
      <c r="BN86" s="922"/>
      <c r="BO86" s="922"/>
      <c r="BP86" s="922"/>
      <c r="BQ86" s="922"/>
      <c r="BR86" s="922"/>
      <c r="BS86" s="922"/>
      <c r="BT86" s="922"/>
      <c r="BU86" s="922"/>
      <c r="BV86" s="922"/>
      <c r="BW86" s="922"/>
      <c r="BX86" s="922"/>
      <c r="BY86" s="922"/>
      <c r="BZ86" s="922"/>
      <c r="CA86" s="922"/>
      <c r="CB86" s="922"/>
      <c r="CC86" s="922"/>
      <c r="CD86" s="922"/>
      <c r="CE86" s="922"/>
      <c r="CF86" s="922"/>
      <c r="CG86" s="922"/>
      <c r="CH86" s="922"/>
      <c r="CI86" s="922"/>
      <c r="CJ86" s="922"/>
      <c r="CK86" s="922"/>
      <c r="CL86" s="922"/>
      <c r="CM86" s="922"/>
      <c r="CN86" s="922"/>
      <c r="CO86" s="922"/>
      <c r="CP86" s="922"/>
      <c r="CQ86" s="922"/>
      <c r="CR86" s="922"/>
      <c r="CS86" s="922"/>
      <c r="CT86" s="922"/>
      <c r="CU86" s="922"/>
      <c r="CV86" s="922"/>
      <c r="CW86" s="922"/>
      <c r="CX86" s="922"/>
      <c r="CY86" s="922"/>
      <c r="CZ86" s="922"/>
      <c r="DA86" s="922"/>
      <c r="DB86" s="922"/>
      <c r="DC86" s="922"/>
      <c r="DD86" s="922"/>
      <c r="DE86" s="922"/>
      <c r="DF86" s="922"/>
      <c r="DG86" s="922"/>
      <c r="DH86" s="922"/>
      <c r="DI86" s="922"/>
      <c r="DJ86" s="922"/>
      <c r="DK86" s="922"/>
      <c r="DL86" s="922"/>
      <c r="DM86" s="922"/>
      <c r="DN86" s="922"/>
      <c r="DO86" s="922"/>
      <c r="DP86" s="922"/>
      <c r="DQ86" s="922"/>
      <c r="DR86" s="922"/>
      <c r="DS86" s="922"/>
      <c r="DT86" s="922"/>
      <c r="DU86" s="922"/>
      <c r="DV86" s="922"/>
      <c r="DW86" s="922"/>
      <c r="DX86" s="922"/>
      <c r="DY86" s="922"/>
      <c r="DZ86" s="922"/>
      <c r="EA86" s="922"/>
      <c r="EB86" s="922"/>
      <c r="EC86" s="922"/>
      <c r="ED86" s="922"/>
      <c r="EE86" s="922"/>
      <c r="EF86" s="922"/>
      <c r="EG86" s="922"/>
      <c r="EH86" s="922"/>
      <c r="EI86" s="922"/>
      <c r="EJ86" s="922"/>
      <c r="EK86" s="922"/>
      <c r="EL86" s="922"/>
      <c r="EM86" s="922"/>
      <c r="EN86" s="922"/>
      <c r="EO86" s="922"/>
      <c r="EP86" s="922"/>
      <c r="EQ86" s="922"/>
      <c r="ER86" s="922"/>
      <c r="ES86" s="922"/>
      <c r="ET86" s="922"/>
      <c r="EU86" s="922"/>
      <c r="EV86" s="922"/>
      <c r="EW86" s="922"/>
    </row>
    <row r="87" spans="1:153">
      <c r="A87" s="320">
        <v>78</v>
      </c>
      <c r="B87" s="759"/>
      <c r="C87" s="759"/>
      <c r="D87" s="759"/>
      <c r="E87" s="760"/>
      <c r="F87" s="761"/>
      <c r="G87" s="761"/>
      <c r="H87" s="762"/>
      <c r="I87" s="762"/>
      <c r="J87" s="763"/>
      <c r="K87" s="763"/>
      <c r="L87" s="763"/>
      <c r="M87" s="763"/>
      <c r="N87" s="764"/>
      <c r="O87" s="761"/>
      <c r="P87" s="761"/>
      <c r="Q87" s="761"/>
      <c r="R87" s="761"/>
      <c r="S87" s="761"/>
      <c r="T87" s="761"/>
      <c r="U87" s="761"/>
      <c r="V87" s="761"/>
      <c r="W87" s="765"/>
      <c r="X87" s="766"/>
      <c r="Y87" s="766"/>
      <c r="Z87" s="766"/>
      <c r="AA87" s="766"/>
      <c r="AB87" s="766"/>
      <c r="AC87" s="766"/>
      <c r="AD87" s="920">
        <v>78</v>
      </c>
      <c r="AE87" s="922"/>
      <c r="AF87" s="922"/>
      <c r="AG87" s="922"/>
      <c r="AH87" s="922"/>
      <c r="AI87" s="922"/>
      <c r="AJ87" s="922"/>
      <c r="AK87" s="922"/>
      <c r="AL87" s="922"/>
      <c r="AM87" s="922"/>
      <c r="AN87" s="922"/>
      <c r="AO87" s="922"/>
      <c r="AP87" s="922"/>
      <c r="AQ87" s="922"/>
      <c r="AR87" s="922"/>
      <c r="AS87" s="922"/>
      <c r="AT87" s="922"/>
      <c r="AU87" s="922"/>
      <c r="AV87" s="922"/>
      <c r="AW87" s="922"/>
      <c r="AX87" s="922"/>
      <c r="AY87" s="922"/>
      <c r="AZ87" s="922"/>
      <c r="BA87" s="922"/>
      <c r="BB87" s="922"/>
      <c r="BC87" s="922"/>
      <c r="BD87" s="922"/>
      <c r="BE87" s="922"/>
      <c r="BF87" s="922"/>
      <c r="BG87" s="922"/>
      <c r="BH87" s="922"/>
      <c r="BI87" s="922"/>
      <c r="BJ87" s="922"/>
      <c r="BK87" s="922"/>
      <c r="BL87" s="922"/>
      <c r="BM87" s="922"/>
      <c r="BN87" s="922"/>
      <c r="BO87" s="922"/>
      <c r="BP87" s="922"/>
      <c r="BQ87" s="922"/>
      <c r="BR87" s="922"/>
      <c r="BS87" s="922"/>
      <c r="BT87" s="922"/>
      <c r="BU87" s="922"/>
      <c r="BV87" s="922"/>
      <c r="BW87" s="922"/>
      <c r="BX87" s="922"/>
      <c r="BY87" s="922"/>
      <c r="BZ87" s="922"/>
      <c r="CA87" s="922"/>
      <c r="CB87" s="922"/>
      <c r="CC87" s="922"/>
      <c r="CD87" s="922"/>
      <c r="CE87" s="922"/>
      <c r="CF87" s="922"/>
      <c r="CG87" s="922"/>
      <c r="CH87" s="922"/>
      <c r="CI87" s="922"/>
      <c r="CJ87" s="922"/>
      <c r="CK87" s="922"/>
      <c r="CL87" s="922"/>
      <c r="CM87" s="922"/>
      <c r="CN87" s="922"/>
      <c r="CO87" s="922"/>
      <c r="CP87" s="922"/>
      <c r="CQ87" s="922"/>
      <c r="CR87" s="922"/>
      <c r="CS87" s="922"/>
      <c r="CT87" s="922"/>
      <c r="CU87" s="922"/>
      <c r="CV87" s="922"/>
      <c r="CW87" s="922"/>
      <c r="CX87" s="922"/>
      <c r="CY87" s="922"/>
      <c r="CZ87" s="922"/>
      <c r="DA87" s="922"/>
      <c r="DB87" s="922"/>
      <c r="DC87" s="922"/>
      <c r="DD87" s="922"/>
      <c r="DE87" s="922"/>
      <c r="DF87" s="922"/>
      <c r="DG87" s="922"/>
      <c r="DH87" s="922"/>
      <c r="DI87" s="922"/>
      <c r="DJ87" s="922"/>
      <c r="DK87" s="922"/>
      <c r="DL87" s="922"/>
      <c r="DM87" s="922"/>
      <c r="DN87" s="922"/>
      <c r="DO87" s="922"/>
      <c r="DP87" s="922"/>
      <c r="DQ87" s="922"/>
      <c r="DR87" s="922"/>
      <c r="DS87" s="922"/>
      <c r="DT87" s="922"/>
      <c r="DU87" s="922"/>
      <c r="DV87" s="922"/>
      <c r="DW87" s="922"/>
      <c r="DX87" s="922"/>
      <c r="DY87" s="922"/>
      <c r="DZ87" s="922"/>
      <c r="EA87" s="922"/>
      <c r="EB87" s="922"/>
      <c r="EC87" s="922"/>
      <c r="ED87" s="922"/>
      <c r="EE87" s="922"/>
      <c r="EF87" s="922"/>
      <c r="EG87" s="922"/>
      <c r="EH87" s="922"/>
      <c r="EI87" s="922"/>
      <c r="EJ87" s="922"/>
      <c r="EK87" s="922"/>
      <c r="EL87" s="922"/>
      <c r="EM87" s="922"/>
      <c r="EN87" s="922"/>
      <c r="EO87" s="922"/>
      <c r="EP87" s="922"/>
      <c r="EQ87" s="922"/>
      <c r="ER87" s="922"/>
      <c r="ES87" s="922"/>
      <c r="ET87" s="922"/>
      <c r="EU87" s="922"/>
      <c r="EV87" s="922"/>
      <c r="EW87" s="922"/>
    </row>
    <row r="88" spans="1:153">
      <c r="A88" s="320">
        <v>79</v>
      </c>
      <c r="B88" s="759"/>
      <c r="C88" s="759"/>
      <c r="D88" s="759"/>
      <c r="E88" s="760"/>
      <c r="F88" s="761"/>
      <c r="G88" s="761"/>
      <c r="H88" s="762"/>
      <c r="I88" s="762"/>
      <c r="J88" s="763"/>
      <c r="K88" s="763"/>
      <c r="L88" s="763"/>
      <c r="M88" s="763"/>
      <c r="N88" s="764"/>
      <c r="O88" s="761"/>
      <c r="P88" s="761"/>
      <c r="Q88" s="761"/>
      <c r="R88" s="761"/>
      <c r="S88" s="761"/>
      <c r="T88" s="761"/>
      <c r="U88" s="761"/>
      <c r="V88" s="761"/>
      <c r="W88" s="765"/>
      <c r="X88" s="766"/>
      <c r="Y88" s="766"/>
      <c r="Z88" s="766"/>
      <c r="AA88" s="766"/>
      <c r="AB88" s="766"/>
      <c r="AC88" s="766"/>
      <c r="AD88" s="920">
        <v>79</v>
      </c>
      <c r="AE88" s="922"/>
      <c r="AF88" s="922"/>
      <c r="AG88" s="922"/>
      <c r="AH88" s="922"/>
      <c r="AI88" s="922"/>
      <c r="AJ88" s="922"/>
      <c r="AK88" s="922"/>
      <c r="AL88" s="922"/>
      <c r="AM88" s="922"/>
      <c r="AN88" s="922"/>
      <c r="AO88" s="922"/>
      <c r="AP88" s="922"/>
      <c r="AQ88" s="922"/>
      <c r="AR88" s="922"/>
      <c r="AS88" s="922"/>
      <c r="AT88" s="922"/>
      <c r="AU88" s="922"/>
      <c r="AV88" s="922"/>
      <c r="AW88" s="922"/>
      <c r="AX88" s="922"/>
      <c r="AY88" s="922"/>
      <c r="AZ88" s="922"/>
      <c r="BA88" s="922"/>
      <c r="BB88" s="922"/>
      <c r="BC88" s="922"/>
      <c r="BD88" s="922"/>
      <c r="BE88" s="922"/>
      <c r="BF88" s="922"/>
      <c r="BG88" s="922"/>
      <c r="BH88" s="922"/>
      <c r="BI88" s="922"/>
      <c r="BJ88" s="922"/>
      <c r="BK88" s="922"/>
      <c r="BL88" s="922"/>
      <c r="BM88" s="922"/>
      <c r="BN88" s="922"/>
      <c r="BO88" s="922"/>
      <c r="BP88" s="922"/>
      <c r="BQ88" s="922"/>
      <c r="BR88" s="922"/>
      <c r="BS88" s="922"/>
      <c r="BT88" s="922"/>
      <c r="BU88" s="922"/>
      <c r="BV88" s="922"/>
      <c r="BW88" s="922"/>
      <c r="BX88" s="922"/>
      <c r="BY88" s="922"/>
      <c r="BZ88" s="922"/>
      <c r="CA88" s="922"/>
      <c r="CB88" s="922"/>
      <c r="CC88" s="922"/>
      <c r="CD88" s="922"/>
      <c r="CE88" s="922"/>
      <c r="CF88" s="922"/>
      <c r="CG88" s="922"/>
      <c r="CH88" s="922"/>
      <c r="CI88" s="922"/>
      <c r="CJ88" s="922"/>
      <c r="CK88" s="922"/>
      <c r="CL88" s="922"/>
      <c r="CM88" s="922"/>
      <c r="CN88" s="922"/>
      <c r="CO88" s="922"/>
      <c r="CP88" s="922"/>
      <c r="CQ88" s="922"/>
      <c r="CR88" s="922"/>
      <c r="CS88" s="922"/>
      <c r="CT88" s="922"/>
      <c r="CU88" s="922"/>
      <c r="CV88" s="922"/>
      <c r="CW88" s="922"/>
      <c r="CX88" s="922"/>
      <c r="CY88" s="922"/>
      <c r="CZ88" s="922"/>
      <c r="DA88" s="922"/>
      <c r="DB88" s="922"/>
      <c r="DC88" s="922"/>
      <c r="DD88" s="922"/>
      <c r="DE88" s="922"/>
      <c r="DF88" s="922"/>
      <c r="DG88" s="922"/>
      <c r="DH88" s="922"/>
      <c r="DI88" s="922"/>
      <c r="DJ88" s="922"/>
      <c r="DK88" s="922"/>
      <c r="DL88" s="922"/>
      <c r="DM88" s="922"/>
      <c r="DN88" s="922"/>
      <c r="DO88" s="922"/>
      <c r="DP88" s="922"/>
      <c r="DQ88" s="922"/>
      <c r="DR88" s="922"/>
      <c r="DS88" s="922"/>
      <c r="DT88" s="922"/>
      <c r="DU88" s="922"/>
      <c r="DV88" s="922"/>
      <c r="DW88" s="922"/>
      <c r="DX88" s="922"/>
      <c r="DY88" s="922"/>
      <c r="DZ88" s="922"/>
      <c r="EA88" s="922"/>
      <c r="EB88" s="922"/>
      <c r="EC88" s="922"/>
      <c r="ED88" s="922"/>
      <c r="EE88" s="922"/>
      <c r="EF88" s="922"/>
      <c r="EG88" s="922"/>
      <c r="EH88" s="922"/>
      <c r="EI88" s="922"/>
      <c r="EJ88" s="922"/>
      <c r="EK88" s="922"/>
      <c r="EL88" s="922"/>
      <c r="EM88" s="922"/>
      <c r="EN88" s="922"/>
      <c r="EO88" s="922"/>
      <c r="EP88" s="922"/>
      <c r="EQ88" s="922"/>
      <c r="ER88" s="922"/>
      <c r="ES88" s="922"/>
      <c r="ET88" s="922"/>
      <c r="EU88" s="922"/>
      <c r="EV88" s="922"/>
      <c r="EW88" s="922"/>
    </row>
    <row r="89" spans="1:153">
      <c r="A89" s="320">
        <v>80</v>
      </c>
      <c r="B89" s="759"/>
      <c r="C89" s="759"/>
      <c r="D89" s="759"/>
      <c r="E89" s="760"/>
      <c r="F89" s="761"/>
      <c r="G89" s="761"/>
      <c r="H89" s="762"/>
      <c r="I89" s="762"/>
      <c r="J89" s="763"/>
      <c r="K89" s="763"/>
      <c r="L89" s="763"/>
      <c r="M89" s="763"/>
      <c r="N89" s="764"/>
      <c r="O89" s="761"/>
      <c r="P89" s="761"/>
      <c r="Q89" s="761"/>
      <c r="R89" s="761"/>
      <c r="S89" s="761"/>
      <c r="T89" s="761"/>
      <c r="U89" s="761"/>
      <c r="V89" s="761"/>
      <c r="W89" s="765"/>
      <c r="X89" s="766"/>
      <c r="Y89" s="766"/>
      <c r="Z89" s="766"/>
      <c r="AA89" s="766"/>
      <c r="AB89" s="766"/>
      <c r="AC89" s="766"/>
      <c r="AD89" s="920">
        <v>80</v>
      </c>
      <c r="AE89" s="922"/>
      <c r="AF89" s="922"/>
      <c r="AG89" s="922"/>
      <c r="AH89" s="922"/>
      <c r="AI89" s="922"/>
      <c r="AJ89" s="922"/>
      <c r="AK89" s="922"/>
      <c r="AL89" s="922"/>
      <c r="AM89" s="922"/>
      <c r="AN89" s="922"/>
      <c r="AO89" s="922"/>
      <c r="AP89" s="922"/>
      <c r="AQ89" s="922"/>
      <c r="AR89" s="922"/>
      <c r="AS89" s="922"/>
      <c r="AT89" s="922"/>
      <c r="AU89" s="922"/>
      <c r="AV89" s="922"/>
      <c r="AW89" s="922"/>
      <c r="AX89" s="922"/>
      <c r="AY89" s="922"/>
      <c r="AZ89" s="922"/>
      <c r="BA89" s="922"/>
      <c r="BB89" s="922"/>
      <c r="BC89" s="922"/>
      <c r="BD89" s="922"/>
      <c r="BE89" s="922"/>
      <c r="BF89" s="922"/>
      <c r="BG89" s="922"/>
      <c r="BH89" s="922"/>
      <c r="BI89" s="922"/>
      <c r="BJ89" s="922"/>
      <c r="BK89" s="922"/>
      <c r="BL89" s="922"/>
      <c r="BM89" s="922"/>
      <c r="BN89" s="922"/>
      <c r="BO89" s="922"/>
      <c r="BP89" s="922"/>
      <c r="BQ89" s="922"/>
      <c r="BR89" s="922"/>
      <c r="BS89" s="922"/>
      <c r="BT89" s="922"/>
      <c r="BU89" s="922"/>
      <c r="BV89" s="922"/>
      <c r="BW89" s="922"/>
      <c r="BX89" s="922"/>
      <c r="BY89" s="922"/>
      <c r="BZ89" s="922"/>
      <c r="CA89" s="922"/>
      <c r="CB89" s="922"/>
      <c r="CC89" s="922"/>
      <c r="CD89" s="922"/>
      <c r="CE89" s="922"/>
      <c r="CF89" s="922"/>
      <c r="CG89" s="922"/>
      <c r="CH89" s="922"/>
      <c r="CI89" s="922"/>
      <c r="CJ89" s="922"/>
      <c r="CK89" s="922"/>
      <c r="CL89" s="922"/>
      <c r="CM89" s="922"/>
      <c r="CN89" s="922"/>
      <c r="CO89" s="922"/>
      <c r="CP89" s="922"/>
      <c r="CQ89" s="922"/>
      <c r="CR89" s="922"/>
      <c r="CS89" s="922"/>
      <c r="CT89" s="922"/>
      <c r="CU89" s="922"/>
      <c r="CV89" s="922"/>
      <c r="CW89" s="922"/>
      <c r="CX89" s="922"/>
      <c r="CY89" s="922"/>
      <c r="CZ89" s="922"/>
      <c r="DA89" s="922"/>
      <c r="DB89" s="922"/>
      <c r="DC89" s="922"/>
      <c r="DD89" s="922"/>
      <c r="DE89" s="922"/>
      <c r="DF89" s="922"/>
      <c r="DG89" s="922"/>
      <c r="DH89" s="922"/>
      <c r="DI89" s="922"/>
      <c r="DJ89" s="922"/>
      <c r="DK89" s="922"/>
      <c r="DL89" s="922"/>
      <c r="DM89" s="922"/>
      <c r="DN89" s="922"/>
      <c r="DO89" s="922"/>
      <c r="DP89" s="922"/>
      <c r="DQ89" s="922"/>
      <c r="DR89" s="922"/>
      <c r="DS89" s="922"/>
      <c r="DT89" s="922"/>
      <c r="DU89" s="922"/>
      <c r="DV89" s="922"/>
      <c r="DW89" s="922"/>
      <c r="DX89" s="922"/>
      <c r="DY89" s="922"/>
      <c r="DZ89" s="922"/>
      <c r="EA89" s="922"/>
      <c r="EB89" s="922"/>
      <c r="EC89" s="922"/>
      <c r="ED89" s="922"/>
      <c r="EE89" s="922"/>
      <c r="EF89" s="922"/>
      <c r="EG89" s="922"/>
      <c r="EH89" s="922"/>
      <c r="EI89" s="922"/>
      <c r="EJ89" s="922"/>
      <c r="EK89" s="922"/>
      <c r="EL89" s="922"/>
      <c r="EM89" s="922"/>
      <c r="EN89" s="922"/>
      <c r="EO89" s="922"/>
      <c r="EP89" s="922"/>
      <c r="EQ89" s="922"/>
      <c r="ER89" s="922"/>
      <c r="ES89" s="922"/>
      <c r="ET89" s="922"/>
      <c r="EU89" s="922"/>
      <c r="EV89" s="922"/>
      <c r="EW89" s="922"/>
    </row>
    <row r="90" spans="1:153">
      <c r="A90" s="320">
        <v>81</v>
      </c>
      <c r="B90" s="759"/>
      <c r="C90" s="759"/>
      <c r="D90" s="759"/>
      <c r="E90" s="760"/>
      <c r="F90" s="761"/>
      <c r="G90" s="761"/>
      <c r="H90" s="762"/>
      <c r="I90" s="762"/>
      <c r="J90" s="763"/>
      <c r="K90" s="763"/>
      <c r="L90" s="763"/>
      <c r="M90" s="763"/>
      <c r="N90" s="764"/>
      <c r="O90" s="761"/>
      <c r="P90" s="761"/>
      <c r="Q90" s="761"/>
      <c r="R90" s="761"/>
      <c r="S90" s="761"/>
      <c r="T90" s="761"/>
      <c r="U90" s="761"/>
      <c r="V90" s="761"/>
      <c r="W90" s="765"/>
      <c r="X90" s="766"/>
      <c r="Y90" s="766"/>
      <c r="Z90" s="766"/>
      <c r="AA90" s="766"/>
      <c r="AB90" s="766"/>
      <c r="AC90" s="766"/>
      <c r="AD90" s="920">
        <v>81</v>
      </c>
      <c r="AE90" s="922"/>
      <c r="AF90" s="922"/>
      <c r="AG90" s="922"/>
      <c r="AH90" s="922"/>
      <c r="AI90" s="922"/>
      <c r="AJ90" s="922"/>
      <c r="AK90" s="922"/>
      <c r="AL90" s="922"/>
      <c r="AM90" s="922"/>
      <c r="AN90" s="922"/>
      <c r="AO90" s="922"/>
      <c r="AP90" s="922"/>
      <c r="AQ90" s="922"/>
      <c r="AR90" s="922"/>
      <c r="AS90" s="922"/>
      <c r="AT90" s="922"/>
      <c r="AU90" s="922"/>
      <c r="AV90" s="922"/>
      <c r="AW90" s="922"/>
      <c r="AX90" s="922"/>
      <c r="AY90" s="922"/>
      <c r="AZ90" s="922"/>
      <c r="BA90" s="922"/>
      <c r="BB90" s="922"/>
      <c r="BC90" s="922"/>
      <c r="BD90" s="922"/>
      <c r="BE90" s="922"/>
      <c r="BF90" s="922"/>
      <c r="BG90" s="922"/>
      <c r="BH90" s="922"/>
      <c r="BI90" s="922"/>
      <c r="BJ90" s="922"/>
      <c r="BK90" s="922"/>
      <c r="BL90" s="922"/>
      <c r="BM90" s="922"/>
      <c r="BN90" s="922"/>
      <c r="BO90" s="922"/>
      <c r="BP90" s="922"/>
      <c r="BQ90" s="922"/>
      <c r="BR90" s="922"/>
      <c r="BS90" s="922"/>
      <c r="BT90" s="922"/>
      <c r="BU90" s="922"/>
      <c r="BV90" s="922"/>
      <c r="BW90" s="922"/>
      <c r="BX90" s="922"/>
      <c r="BY90" s="922"/>
      <c r="BZ90" s="922"/>
      <c r="CA90" s="922"/>
      <c r="CB90" s="922"/>
      <c r="CC90" s="922"/>
      <c r="CD90" s="922"/>
      <c r="CE90" s="922"/>
      <c r="CF90" s="922"/>
      <c r="CG90" s="922"/>
      <c r="CH90" s="922"/>
      <c r="CI90" s="922"/>
      <c r="CJ90" s="922"/>
      <c r="CK90" s="922"/>
      <c r="CL90" s="922"/>
      <c r="CM90" s="922"/>
      <c r="CN90" s="922"/>
      <c r="CO90" s="922"/>
      <c r="CP90" s="922"/>
      <c r="CQ90" s="922"/>
      <c r="CR90" s="922"/>
      <c r="CS90" s="922"/>
      <c r="CT90" s="922"/>
      <c r="CU90" s="922"/>
      <c r="CV90" s="922"/>
      <c r="CW90" s="922"/>
      <c r="CX90" s="922"/>
      <c r="CY90" s="922"/>
      <c r="CZ90" s="922"/>
      <c r="DA90" s="922"/>
      <c r="DB90" s="922"/>
      <c r="DC90" s="922"/>
      <c r="DD90" s="922"/>
      <c r="DE90" s="922"/>
      <c r="DF90" s="922"/>
      <c r="DG90" s="922"/>
      <c r="DH90" s="922"/>
      <c r="DI90" s="922"/>
      <c r="DJ90" s="922"/>
      <c r="DK90" s="922"/>
      <c r="DL90" s="922"/>
      <c r="DM90" s="922"/>
      <c r="DN90" s="922"/>
      <c r="DO90" s="922"/>
      <c r="DP90" s="922"/>
      <c r="DQ90" s="922"/>
      <c r="DR90" s="922"/>
      <c r="DS90" s="922"/>
      <c r="DT90" s="922"/>
      <c r="DU90" s="922"/>
      <c r="DV90" s="922"/>
      <c r="DW90" s="922"/>
      <c r="DX90" s="922"/>
      <c r="DY90" s="922"/>
      <c r="DZ90" s="922"/>
      <c r="EA90" s="922"/>
      <c r="EB90" s="922"/>
      <c r="EC90" s="922"/>
      <c r="ED90" s="922"/>
      <c r="EE90" s="922"/>
      <c r="EF90" s="922"/>
      <c r="EG90" s="922"/>
      <c r="EH90" s="922"/>
      <c r="EI90" s="922"/>
      <c r="EJ90" s="922"/>
      <c r="EK90" s="922"/>
      <c r="EL90" s="922"/>
      <c r="EM90" s="922"/>
      <c r="EN90" s="922"/>
      <c r="EO90" s="922"/>
      <c r="EP90" s="922"/>
      <c r="EQ90" s="922"/>
      <c r="ER90" s="922"/>
      <c r="ES90" s="922"/>
      <c r="ET90" s="922"/>
      <c r="EU90" s="922"/>
      <c r="EV90" s="922"/>
      <c r="EW90" s="922"/>
    </row>
    <row r="91" spans="1:153">
      <c r="A91" s="320">
        <v>82</v>
      </c>
      <c r="B91" s="759"/>
      <c r="C91" s="759"/>
      <c r="D91" s="759"/>
      <c r="E91" s="760"/>
      <c r="F91" s="761"/>
      <c r="G91" s="761"/>
      <c r="H91" s="762"/>
      <c r="I91" s="762"/>
      <c r="J91" s="763"/>
      <c r="K91" s="763"/>
      <c r="L91" s="763"/>
      <c r="M91" s="763"/>
      <c r="N91" s="764"/>
      <c r="O91" s="761"/>
      <c r="P91" s="761"/>
      <c r="Q91" s="761"/>
      <c r="R91" s="761"/>
      <c r="S91" s="761"/>
      <c r="T91" s="761"/>
      <c r="U91" s="761"/>
      <c r="V91" s="761"/>
      <c r="W91" s="765"/>
      <c r="X91" s="766"/>
      <c r="Y91" s="766"/>
      <c r="Z91" s="766"/>
      <c r="AA91" s="766"/>
      <c r="AB91" s="766"/>
      <c r="AC91" s="766"/>
      <c r="AD91" s="920">
        <v>82</v>
      </c>
      <c r="AE91" s="922"/>
      <c r="AF91" s="922"/>
      <c r="AG91" s="922"/>
      <c r="AH91" s="922"/>
      <c r="AI91" s="922"/>
      <c r="AJ91" s="922"/>
      <c r="AK91" s="922"/>
      <c r="AL91" s="922"/>
      <c r="AM91" s="922"/>
      <c r="AN91" s="922"/>
      <c r="AO91" s="922"/>
      <c r="AP91" s="922"/>
      <c r="AQ91" s="922"/>
      <c r="AR91" s="922"/>
      <c r="AS91" s="922"/>
      <c r="AT91" s="922"/>
      <c r="AU91" s="922"/>
      <c r="AV91" s="922"/>
      <c r="AW91" s="922"/>
      <c r="AX91" s="922"/>
      <c r="AY91" s="922"/>
      <c r="AZ91" s="922"/>
      <c r="BA91" s="922"/>
      <c r="BB91" s="922"/>
      <c r="BC91" s="922"/>
      <c r="BD91" s="922"/>
      <c r="BE91" s="922"/>
      <c r="BF91" s="922"/>
      <c r="BG91" s="922"/>
      <c r="BH91" s="922"/>
      <c r="BI91" s="922"/>
      <c r="BJ91" s="922"/>
      <c r="BK91" s="922"/>
      <c r="BL91" s="922"/>
      <c r="BM91" s="922"/>
      <c r="BN91" s="922"/>
      <c r="BO91" s="922"/>
      <c r="BP91" s="922"/>
      <c r="BQ91" s="922"/>
      <c r="BR91" s="922"/>
      <c r="BS91" s="922"/>
      <c r="BT91" s="922"/>
      <c r="BU91" s="922"/>
      <c r="BV91" s="922"/>
      <c r="BW91" s="922"/>
      <c r="BX91" s="922"/>
      <c r="BY91" s="922"/>
      <c r="BZ91" s="922"/>
      <c r="CA91" s="922"/>
      <c r="CB91" s="922"/>
      <c r="CC91" s="922"/>
      <c r="CD91" s="922"/>
      <c r="CE91" s="922"/>
      <c r="CF91" s="922"/>
      <c r="CG91" s="922"/>
      <c r="CH91" s="922"/>
      <c r="CI91" s="922"/>
      <c r="CJ91" s="922"/>
      <c r="CK91" s="922"/>
      <c r="CL91" s="922"/>
      <c r="CM91" s="922"/>
      <c r="CN91" s="922"/>
      <c r="CO91" s="922"/>
      <c r="CP91" s="922"/>
      <c r="CQ91" s="922"/>
      <c r="CR91" s="922"/>
      <c r="CS91" s="922"/>
      <c r="CT91" s="922"/>
      <c r="CU91" s="922"/>
      <c r="CV91" s="922"/>
      <c r="CW91" s="922"/>
      <c r="CX91" s="922"/>
      <c r="CY91" s="922"/>
      <c r="CZ91" s="922"/>
      <c r="DA91" s="922"/>
      <c r="DB91" s="922"/>
      <c r="DC91" s="922"/>
      <c r="DD91" s="922"/>
      <c r="DE91" s="922"/>
      <c r="DF91" s="922"/>
      <c r="DG91" s="922"/>
      <c r="DH91" s="922"/>
      <c r="DI91" s="922"/>
      <c r="DJ91" s="922"/>
      <c r="DK91" s="922"/>
      <c r="DL91" s="922"/>
      <c r="DM91" s="922"/>
      <c r="DN91" s="922"/>
      <c r="DO91" s="922"/>
      <c r="DP91" s="922"/>
      <c r="DQ91" s="922"/>
      <c r="DR91" s="922"/>
      <c r="DS91" s="922"/>
      <c r="DT91" s="922"/>
      <c r="DU91" s="922"/>
      <c r="DV91" s="922"/>
      <c r="DW91" s="922"/>
      <c r="DX91" s="922"/>
      <c r="DY91" s="922"/>
      <c r="DZ91" s="922"/>
      <c r="EA91" s="922"/>
      <c r="EB91" s="922"/>
      <c r="EC91" s="922"/>
      <c r="ED91" s="922"/>
      <c r="EE91" s="922"/>
      <c r="EF91" s="922"/>
      <c r="EG91" s="922"/>
      <c r="EH91" s="922"/>
      <c r="EI91" s="922"/>
      <c r="EJ91" s="922"/>
      <c r="EK91" s="922"/>
      <c r="EL91" s="922"/>
      <c r="EM91" s="922"/>
      <c r="EN91" s="922"/>
      <c r="EO91" s="922"/>
      <c r="EP91" s="922"/>
      <c r="EQ91" s="922"/>
      <c r="ER91" s="922"/>
      <c r="ES91" s="922"/>
      <c r="ET91" s="922"/>
      <c r="EU91" s="922"/>
      <c r="EV91" s="922"/>
      <c r="EW91" s="922"/>
    </row>
    <row r="92" spans="1:153">
      <c r="A92" s="320">
        <v>83</v>
      </c>
      <c r="B92" s="759"/>
      <c r="C92" s="759"/>
      <c r="D92" s="759"/>
      <c r="E92" s="760"/>
      <c r="F92" s="761"/>
      <c r="G92" s="761"/>
      <c r="H92" s="762"/>
      <c r="I92" s="762"/>
      <c r="J92" s="763"/>
      <c r="K92" s="763"/>
      <c r="L92" s="763"/>
      <c r="M92" s="763"/>
      <c r="N92" s="764"/>
      <c r="O92" s="761"/>
      <c r="P92" s="761"/>
      <c r="Q92" s="761"/>
      <c r="R92" s="761"/>
      <c r="S92" s="761"/>
      <c r="T92" s="761"/>
      <c r="U92" s="761"/>
      <c r="V92" s="761"/>
      <c r="W92" s="765"/>
      <c r="X92" s="766"/>
      <c r="Y92" s="766"/>
      <c r="Z92" s="766"/>
      <c r="AA92" s="766"/>
      <c r="AB92" s="766"/>
      <c r="AC92" s="766"/>
      <c r="AD92" s="920">
        <v>83</v>
      </c>
      <c r="AE92" s="922"/>
      <c r="AF92" s="922"/>
      <c r="AG92" s="922"/>
      <c r="AH92" s="922"/>
      <c r="AI92" s="922"/>
      <c r="AJ92" s="922"/>
      <c r="AK92" s="922"/>
      <c r="AL92" s="922"/>
      <c r="AM92" s="922"/>
      <c r="AN92" s="922"/>
      <c r="AO92" s="922"/>
      <c r="AP92" s="922"/>
      <c r="AQ92" s="922"/>
      <c r="AR92" s="922"/>
      <c r="AS92" s="922"/>
      <c r="AT92" s="922"/>
      <c r="AU92" s="922"/>
      <c r="AV92" s="922"/>
      <c r="AW92" s="922"/>
      <c r="AX92" s="922"/>
      <c r="AY92" s="922"/>
      <c r="AZ92" s="922"/>
      <c r="BA92" s="922"/>
      <c r="BB92" s="922"/>
      <c r="BC92" s="922"/>
      <c r="BD92" s="922"/>
      <c r="BE92" s="922"/>
      <c r="BF92" s="922"/>
      <c r="BG92" s="922"/>
      <c r="BH92" s="922"/>
      <c r="BI92" s="922"/>
      <c r="BJ92" s="922"/>
      <c r="BK92" s="922"/>
      <c r="BL92" s="922"/>
      <c r="BM92" s="922"/>
      <c r="BN92" s="922"/>
      <c r="BO92" s="922"/>
      <c r="BP92" s="922"/>
      <c r="BQ92" s="922"/>
      <c r="BR92" s="922"/>
      <c r="BS92" s="922"/>
      <c r="BT92" s="922"/>
      <c r="BU92" s="922"/>
      <c r="BV92" s="922"/>
      <c r="BW92" s="922"/>
      <c r="BX92" s="922"/>
      <c r="BY92" s="922"/>
      <c r="BZ92" s="922"/>
      <c r="CA92" s="922"/>
      <c r="CB92" s="922"/>
      <c r="CC92" s="922"/>
      <c r="CD92" s="922"/>
      <c r="CE92" s="922"/>
      <c r="CF92" s="922"/>
      <c r="CG92" s="922"/>
      <c r="CH92" s="922"/>
      <c r="CI92" s="922"/>
      <c r="CJ92" s="922"/>
      <c r="CK92" s="922"/>
      <c r="CL92" s="922"/>
      <c r="CM92" s="922"/>
      <c r="CN92" s="922"/>
      <c r="CO92" s="922"/>
      <c r="CP92" s="922"/>
      <c r="CQ92" s="922"/>
      <c r="CR92" s="922"/>
      <c r="CS92" s="922"/>
      <c r="CT92" s="922"/>
      <c r="CU92" s="922"/>
      <c r="CV92" s="922"/>
      <c r="CW92" s="922"/>
      <c r="CX92" s="922"/>
      <c r="CY92" s="922"/>
      <c r="CZ92" s="922"/>
      <c r="DA92" s="922"/>
      <c r="DB92" s="922"/>
      <c r="DC92" s="922"/>
      <c r="DD92" s="922"/>
      <c r="DE92" s="922"/>
      <c r="DF92" s="922"/>
      <c r="DG92" s="922"/>
      <c r="DH92" s="922"/>
      <c r="DI92" s="922"/>
      <c r="DJ92" s="922"/>
      <c r="DK92" s="922"/>
      <c r="DL92" s="922"/>
      <c r="DM92" s="922"/>
      <c r="DN92" s="922"/>
      <c r="DO92" s="922"/>
      <c r="DP92" s="922"/>
      <c r="DQ92" s="922"/>
      <c r="DR92" s="922"/>
      <c r="DS92" s="922"/>
      <c r="DT92" s="922"/>
      <c r="DU92" s="922"/>
      <c r="DV92" s="922"/>
      <c r="DW92" s="922"/>
      <c r="DX92" s="922"/>
      <c r="DY92" s="922"/>
      <c r="DZ92" s="922"/>
      <c r="EA92" s="922"/>
      <c r="EB92" s="922"/>
      <c r="EC92" s="922"/>
      <c r="ED92" s="922"/>
      <c r="EE92" s="922"/>
      <c r="EF92" s="922"/>
      <c r="EG92" s="922"/>
      <c r="EH92" s="922"/>
      <c r="EI92" s="922"/>
      <c r="EJ92" s="922"/>
      <c r="EK92" s="922"/>
      <c r="EL92" s="922"/>
      <c r="EM92" s="922"/>
      <c r="EN92" s="922"/>
      <c r="EO92" s="922"/>
      <c r="EP92" s="922"/>
      <c r="EQ92" s="922"/>
      <c r="ER92" s="922"/>
      <c r="ES92" s="922"/>
      <c r="ET92" s="922"/>
      <c r="EU92" s="922"/>
      <c r="EV92" s="922"/>
      <c r="EW92" s="922"/>
    </row>
    <row r="93" spans="1:153">
      <c r="A93" s="320">
        <v>84</v>
      </c>
      <c r="B93" s="759"/>
      <c r="C93" s="759"/>
      <c r="D93" s="759"/>
      <c r="E93" s="760"/>
      <c r="F93" s="761"/>
      <c r="G93" s="761"/>
      <c r="H93" s="762"/>
      <c r="I93" s="762"/>
      <c r="J93" s="763"/>
      <c r="K93" s="763"/>
      <c r="L93" s="763"/>
      <c r="M93" s="763"/>
      <c r="N93" s="764"/>
      <c r="O93" s="761"/>
      <c r="P93" s="761"/>
      <c r="Q93" s="761"/>
      <c r="R93" s="761"/>
      <c r="S93" s="761"/>
      <c r="T93" s="761"/>
      <c r="U93" s="761"/>
      <c r="V93" s="761"/>
      <c r="W93" s="765"/>
      <c r="X93" s="766"/>
      <c r="Y93" s="766"/>
      <c r="Z93" s="766"/>
      <c r="AA93" s="766"/>
      <c r="AB93" s="766"/>
      <c r="AC93" s="766"/>
      <c r="AD93" s="920">
        <v>84</v>
      </c>
      <c r="AE93" s="922"/>
      <c r="AF93" s="922"/>
      <c r="AG93" s="922"/>
      <c r="AH93" s="922"/>
      <c r="AI93" s="922"/>
      <c r="AJ93" s="922"/>
      <c r="AK93" s="922"/>
      <c r="AL93" s="922"/>
      <c r="AM93" s="922"/>
      <c r="AN93" s="922"/>
      <c r="AO93" s="922"/>
      <c r="AP93" s="922"/>
      <c r="AQ93" s="922"/>
      <c r="AR93" s="922"/>
      <c r="AS93" s="922"/>
      <c r="AT93" s="922"/>
      <c r="AU93" s="922"/>
      <c r="AV93" s="922"/>
      <c r="AW93" s="922"/>
      <c r="AX93" s="922"/>
      <c r="AY93" s="922"/>
      <c r="AZ93" s="922"/>
      <c r="BA93" s="922"/>
      <c r="BB93" s="922"/>
      <c r="BC93" s="922"/>
      <c r="BD93" s="922"/>
      <c r="BE93" s="922"/>
      <c r="BF93" s="922"/>
      <c r="BG93" s="922"/>
      <c r="BH93" s="922"/>
      <c r="BI93" s="922"/>
      <c r="BJ93" s="922"/>
      <c r="BK93" s="922"/>
      <c r="BL93" s="922"/>
      <c r="BM93" s="922"/>
      <c r="BN93" s="922"/>
      <c r="BO93" s="922"/>
      <c r="BP93" s="922"/>
      <c r="BQ93" s="922"/>
      <c r="BR93" s="922"/>
      <c r="BS93" s="922"/>
      <c r="BT93" s="922"/>
      <c r="BU93" s="922"/>
      <c r="BV93" s="922"/>
      <c r="BW93" s="922"/>
      <c r="BX93" s="922"/>
      <c r="BY93" s="922"/>
      <c r="BZ93" s="922"/>
      <c r="CA93" s="922"/>
      <c r="CB93" s="922"/>
      <c r="CC93" s="922"/>
      <c r="CD93" s="922"/>
      <c r="CE93" s="922"/>
      <c r="CF93" s="922"/>
      <c r="CG93" s="922"/>
      <c r="CH93" s="922"/>
      <c r="CI93" s="922"/>
      <c r="CJ93" s="922"/>
      <c r="CK93" s="922"/>
      <c r="CL93" s="922"/>
      <c r="CM93" s="922"/>
      <c r="CN93" s="922"/>
      <c r="CO93" s="922"/>
      <c r="CP93" s="922"/>
      <c r="CQ93" s="922"/>
      <c r="CR93" s="922"/>
      <c r="CS93" s="922"/>
      <c r="CT93" s="922"/>
      <c r="CU93" s="922"/>
      <c r="CV93" s="922"/>
      <c r="CW93" s="922"/>
      <c r="CX93" s="922"/>
      <c r="CY93" s="922"/>
      <c r="CZ93" s="922"/>
      <c r="DA93" s="922"/>
      <c r="DB93" s="922"/>
      <c r="DC93" s="922"/>
      <c r="DD93" s="922"/>
      <c r="DE93" s="922"/>
      <c r="DF93" s="922"/>
      <c r="DG93" s="922"/>
      <c r="DH93" s="922"/>
      <c r="DI93" s="922"/>
      <c r="DJ93" s="922"/>
      <c r="DK93" s="922"/>
      <c r="DL93" s="922"/>
      <c r="DM93" s="922"/>
      <c r="DN93" s="922"/>
      <c r="DO93" s="922"/>
      <c r="DP93" s="922"/>
      <c r="DQ93" s="922"/>
      <c r="DR93" s="922"/>
      <c r="DS93" s="922"/>
      <c r="DT93" s="922"/>
      <c r="DU93" s="922"/>
      <c r="DV93" s="922"/>
      <c r="DW93" s="922"/>
      <c r="DX93" s="922"/>
      <c r="DY93" s="922"/>
      <c r="DZ93" s="922"/>
      <c r="EA93" s="922"/>
      <c r="EB93" s="922"/>
      <c r="EC93" s="922"/>
      <c r="ED93" s="922"/>
      <c r="EE93" s="922"/>
      <c r="EF93" s="922"/>
      <c r="EG93" s="922"/>
      <c r="EH93" s="922"/>
      <c r="EI93" s="922"/>
      <c r="EJ93" s="922"/>
      <c r="EK93" s="922"/>
      <c r="EL93" s="922"/>
      <c r="EM93" s="922"/>
      <c r="EN93" s="922"/>
      <c r="EO93" s="922"/>
      <c r="EP93" s="922"/>
      <c r="EQ93" s="922"/>
      <c r="ER93" s="922"/>
      <c r="ES93" s="922"/>
      <c r="ET93" s="922"/>
      <c r="EU93" s="922"/>
      <c r="EV93" s="922"/>
      <c r="EW93" s="922"/>
    </row>
    <row r="94" spans="1:153">
      <c r="A94" s="320">
        <v>85</v>
      </c>
      <c r="B94" s="759"/>
      <c r="C94" s="759"/>
      <c r="D94" s="759"/>
      <c r="E94" s="760"/>
      <c r="F94" s="761"/>
      <c r="G94" s="761"/>
      <c r="H94" s="762"/>
      <c r="I94" s="762"/>
      <c r="J94" s="763"/>
      <c r="K94" s="763"/>
      <c r="L94" s="763"/>
      <c r="M94" s="763"/>
      <c r="N94" s="764"/>
      <c r="O94" s="761"/>
      <c r="P94" s="761"/>
      <c r="Q94" s="761"/>
      <c r="R94" s="761"/>
      <c r="S94" s="761"/>
      <c r="T94" s="761"/>
      <c r="U94" s="761"/>
      <c r="V94" s="761"/>
      <c r="W94" s="765"/>
      <c r="X94" s="766"/>
      <c r="Y94" s="766"/>
      <c r="Z94" s="766"/>
      <c r="AA94" s="766"/>
      <c r="AB94" s="766"/>
      <c r="AC94" s="766"/>
      <c r="AD94" s="920">
        <v>85</v>
      </c>
      <c r="AE94" s="922"/>
      <c r="AF94" s="922"/>
      <c r="AG94" s="922"/>
      <c r="AH94" s="922"/>
      <c r="AI94" s="922"/>
      <c r="AJ94" s="922"/>
      <c r="AK94" s="922"/>
      <c r="AL94" s="922"/>
      <c r="AM94" s="922"/>
      <c r="AN94" s="922"/>
      <c r="AO94" s="922"/>
      <c r="AP94" s="922"/>
      <c r="AQ94" s="922"/>
      <c r="AR94" s="922"/>
      <c r="AS94" s="922"/>
      <c r="AT94" s="922"/>
      <c r="AU94" s="922"/>
      <c r="AV94" s="922"/>
      <c r="AW94" s="922"/>
      <c r="AX94" s="922"/>
      <c r="AY94" s="922"/>
      <c r="AZ94" s="922"/>
      <c r="BA94" s="922"/>
      <c r="BB94" s="922"/>
      <c r="BC94" s="922"/>
      <c r="BD94" s="922"/>
      <c r="BE94" s="922"/>
      <c r="BF94" s="922"/>
      <c r="BG94" s="922"/>
      <c r="BH94" s="922"/>
      <c r="BI94" s="922"/>
      <c r="BJ94" s="922"/>
      <c r="BK94" s="922"/>
      <c r="BL94" s="922"/>
      <c r="BM94" s="922"/>
      <c r="BN94" s="922"/>
      <c r="BO94" s="922"/>
      <c r="BP94" s="922"/>
      <c r="BQ94" s="922"/>
      <c r="BR94" s="922"/>
      <c r="BS94" s="922"/>
      <c r="BT94" s="922"/>
      <c r="BU94" s="922"/>
      <c r="BV94" s="922"/>
      <c r="BW94" s="922"/>
      <c r="BX94" s="922"/>
      <c r="BY94" s="922"/>
      <c r="BZ94" s="922"/>
      <c r="CA94" s="922"/>
      <c r="CB94" s="922"/>
      <c r="CC94" s="922"/>
      <c r="CD94" s="922"/>
      <c r="CE94" s="922"/>
      <c r="CF94" s="922"/>
      <c r="CG94" s="922"/>
      <c r="CH94" s="922"/>
      <c r="CI94" s="922"/>
      <c r="CJ94" s="922"/>
      <c r="CK94" s="922"/>
      <c r="CL94" s="922"/>
      <c r="CM94" s="922"/>
      <c r="CN94" s="922"/>
      <c r="CO94" s="922"/>
      <c r="CP94" s="922"/>
      <c r="CQ94" s="922"/>
      <c r="CR94" s="922"/>
      <c r="CS94" s="922"/>
      <c r="CT94" s="922"/>
      <c r="CU94" s="922"/>
      <c r="CV94" s="922"/>
      <c r="CW94" s="922"/>
      <c r="CX94" s="922"/>
      <c r="CY94" s="922"/>
      <c r="CZ94" s="922"/>
      <c r="DA94" s="922"/>
      <c r="DB94" s="922"/>
      <c r="DC94" s="922"/>
      <c r="DD94" s="922"/>
      <c r="DE94" s="922"/>
      <c r="DF94" s="922"/>
      <c r="DG94" s="922"/>
      <c r="DH94" s="922"/>
      <c r="DI94" s="922"/>
      <c r="DJ94" s="922"/>
      <c r="DK94" s="922"/>
      <c r="DL94" s="922"/>
      <c r="DM94" s="922"/>
      <c r="DN94" s="922"/>
      <c r="DO94" s="922"/>
      <c r="DP94" s="922"/>
      <c r="DQ94" s="922"/>
      <c r="DR94" s="922"/>
      <c r="DS94" s="922"/>
      <c r="DT94" s="922"/>
      <c r="DU94" s="922"/>
      <c r="DV94" s="922"/>
      <c r="DW94" s="922"/>
      <c r="DX94" s="922"/>
      <c r="DY94" s="922"/>
      <c r="DZ94" s="922"/>
      <c r="EA94" s="922"/>
      <c r="EB94" s="922"/>
      <c r="EC94" s="922"/>
      <c r="ED94" s="922"/>
      <c r="EE94" s="922"/>
      <c r="EF94" s="922"/>
      <c r="EG94" s="922"/>
      <c r="EH94" s="922"/>
      <c r="EI94" s="922"/>
      <c r="EJ94" s="922"/>
      <c r="EK94" s="922"/>
      <c r="EL94" s="922"/>
      <c r="EM94" s="922"/>
      <c r="EN94" s="922"/>
      <c r="EO94" s="922"/>
      <c r="EP94" s="922"/>
      <c r="EQ94" s="922"/>
      <c r="ER94" s="922"/>
      <c r="ES94" s="922"/>
      <c r="ET94" s="922"/>
      <c r="EU94" s="922"/>
      <c r="EV94" s="922"/>
      <c r="EW94" s="922"/>
    </row>
    <row r="95" spans="1:153">
      <c r="A95" s="320">
        <v>86</v>
      </c>
      <c r="B95" s="759"/>
      <c r="C95" s="759"/>
      <c r="D95" s="759"/>
      <c r="E95" s="760"/>
      <c r="F95" s="761"/>
      <c r="G95" s="761"/>
      <c r="H95" s="762"/>
      <c r="I95" s="762"/>
      <c r="J95" s="763"/>
      <c r="K95" s="763"/>
      <c r="L95" s="763"/>
      <c r="M95" s="763"/>
      <c r="N95" s="764"/>
      <c r="O95" s="761"/>
      <c r="P95" s="761"/>
      <c r="Q95" s="761"/>
      <c r="R95" s="761"/>
      <c r="S95" s="761"/>
      <c r="T95" s="761"/>
      <c r="U95" s="761"/>
      <c r="V95" s="761"/>
      <c r="W95" s="765"/>
      <c r="X95" s="766"/>
      <c r="Y95" s="766"/>
      <c r="Z95" s="766"/>
      <c r="AA95" s="766"/>
      <c r="AB95" s="766"/>
      <c r="AC95" s="766"/>
      <c r="AD95" s="920">
        <v>86</v>
      </c>
      <c r="AE95" s="922"/>
      <c r="AF95" s="922"/>
      <c r="AG95" s="922"/>
      <c r="AH95" s="922"/>
      <c r="AI95" s="922"/>
      <c r="AJ95" s="922"/>
      <c r="AK95" s="922"/>
      <c r="AL95" s="922"/>
      <c r="AM95" s="922"/>
      <c r="AN95" s="922"/>
      <c r="AO95" s="922"/>
      <c r="AP95" s="922"/>
      <c r="AQ95" s="922"/>
      <c r="AR95" s="922"/>
      <c r="AS95" s="922"/>
      <c r="AT95" s="922"/>
      <c r="AU95" s="922"/>
      <c r="AV95" s="922"/>
      <c r="AW95" s="922"/>
      <c r="AX95" s="922"/>
      <c r="AY95" s="922"/>
      <c r="AZ95" s="922"/>
      <c r="BA95" s="922"/>
      <c r="BB95" s="922"/>
      <c r="BC95" s="922"/>
      <c r="BD95" s="922"/>
      <c r="BE95" s="922"/>
      <c r="BF95" s="922"/>
      <c r="BG95" s="922"/>
      <c r="BH95" s="922"/>
      <c r="BI95" s="922"/>
      <c r="BJ95" s="922"/>
      <c r="BK95" s="922"/>
      <c r="BL95" s="922"/>
      <c r="BM95" s="922"/>
      <c r="BN95" s="922"/>
      <c r="BO95" s="922"/>
      <c r="BP95" s="922"/>
      <c r="BQ95" s="922"/>
      <c r="BR95" s="922"/>
      <c r="BS95" s="922"/>
      <c r="BT95" s="922"/>
      <c r="BU95" s="922"/>
      <c r="BV95" s="922"/>
      <c r="BW95" s="922"/>
      <c r="BX95" s="922"/>
      <c r="BY95" s="922"/>
      <c r="BZ95" s="922"/>
      <c r="CA95" s="922"/>
      <c r="CB95" s="922"/>
      <c r="CC95" s="922"/>
      <c r="CD95" s="922"/>
      <c r="CE95" s="922"/>
      <c r="CF95" s="922"/>
      <c r="CG95" s="922"/>
      <c r="CH95" s="922"/>
      <c r="CI95" s="922"/>
      <c r="CJ95" s="922"/>
      <c r="CK95" s="922"/>
      <c r="CL95" s="922"/>
      <c r="CM95" s="922"/>
      <c r="CN95" s="922"/>
      <c r="CO95" s="922"/>
      <c r="CP95" s="922"/>
      <c r="CQ95" s="922"/>
      <c r="CR95" s="922"/>
      <c r="CS95" s="922"/>
      <c r="CT95" s="922"/>
      <c r="CU95" s="922"/>
      <c r="CV95" s="922"/>
      <c r="CW95" s="922"/>
      <c r="CX95" s="922"/>
      <c r="CY95" s="922"/>
      <c r="CZ95" s="922"/>
      <c r="DA95" s="922"/>
      <c r="DB95" s="922"/>
      <c r="DC95" s="922"/>
      <c r="DD95" s="922"/>
      <c r="DE95" s="922"/>
      <c r="DF95" s="922"/>
      <c r="DG95" s="922"/>
      <c r="DH95" s="922"/>
      <c r="DI95" s="922"/>
      <c r="DJ95" s="922"/>
      <c r="DK95" s="922"/>
      <c r="DL95" s="922"/>
      <c r="DM95" s="922"/>
      <c r="DN95" s="922"/>
      <c r="DO95" s="922"/>
      <c r="DP95" s="922"/>
      <c r="DQ95" s="922"/>
      <c r="DR95" s="922"/>
      <c r="DS95" s="922"/>
      <c r="DT95" s="922"/>
      <c r="DU95" s="922"/>
      <c r="DV95" s="922"/>
      <c r="DW95" s="922"/>
      <c r="DX95" s="922"/>
      <c r="DY95" s="922"/>
      <c r="DZ95" s="922"/>
      <c r="EA95" s="922"/>
      <c r="EB95" s="922"/>
      <c r="EC95" s="922"/>
      <c r="ED95" s="922"/>
      <c r="EE95" s="922"/>
      <c r="EF95" s="922"/>
      <c r="EG95" s="922"/>
      <c r="EH95" s="922"/>
      <c r="EI95" s="922"/>
      <c r="EJ95" s="922"/>
      <c r="EK95" s="922"/>
      <c r="EL95" s="922"/>
      <c r="EM95" s="922"/>
      <c r="EN95" s="922"/>
      <c r="EO95" s="922"/>
      <c r="EP95" s="922"/>
      <c r="EQ95" s="922"/>
      <c r="ER95" s="922"/>
      <c r="ES95" s="922"/>
      <c r="ET95" s="922"/>
      <c r="EU95" s="922"/>
      <c r="EV95" s="922"/>
      <c r="EW95" s="922"/>
    </row>
    <row r="96" spans="1:153">
      <c r="A96" s="320">
        <v>87</v>
      </c>
      <c r="B96" s="759"/>
      <c r="C96" s="759"/>
      <c r="D96" s="759"/>
      <c r="E96" s="760"/>
      <c r="F96" s="761"/>
      <c r="G96" s="761"/>
      <c r="H96" s="762"/>
      <c r="I96" s="762"/>
      <c r="J96" s="763"/>
      <c r="K96" s="763"/>
      <c r="L96" s="763"/>
      <c r="M96" s="763"/>
      <c r="N96" s="764"/>
      <c r="O96" s="761"/>
      <c r="P96" s="761"/>
      <c r="Q96" s="761"/>
      <c r="R96" s="761"/>
      <c r="S96" s="761"/>
      <c r="T96" s="761"/>
      <c r="U96" s="761"/>
      <c r="V96" s="761"/>
      <c r="W96" s="765"/>
      <c r="X96" s="766"/>
      <c r="Y96" s="766"/>
      <c r="Z96" s="766"/>
      <c r="AA96" s="766"/>
      <c r="AB96" s="766"/>
      <c r="AC96" s="766"/>
      <c r="AD96" s="920">
        <v>87</v>
      </c>
      <c r="AE96" s="922"/>
      <c r="AF96" s="922"/>
      <c r="AG96" s="922"/>
      <c r="AH96" s="922"/>
      <c r="AI96" s="922"/>
      <c r="AJ96" s="922"/>
      <c r="AK96" s="922"/>
      <c r="AL96" s="922"/>
      <c r="AM96" s="922"/>
      <c r="AN96" s="922"/>
      <c r="AO96" s="922"/>
      <c r="AP96" s="922"/>
      <c r="AQ96" s="922"/>
      <c r="AR96" s="922"/>
      <c r="AS96" s="922"/>
      <c r="AT96" s="922"/>
      <c r="AU96" s="922"/>
      <c r="AV96" s="922"/>
      <c r="AW96" s="922"/>
      <c r="AX96" s="922"/>
      <c r="AY96" s="922"/>
      <c r="AZ96" s="922"/>
      <c r="BA96" s="922"/>
      <c r="BB96" s="922"/>
      <c r="BC96" s="922"/>
      <c r="BD96" s="922"/>
      <c r="BE96" s="922"/>
      <c r="BF96" s="922"/>
      <c r="BG96" s="922"/>
      <c r="BH96" s="922"/>
      <c r="BI96" s="922"/>
      <c r="BJ96" s="922"/>
      <c r="BK96" s="922"/>
      <c r="BL96" s="922"/>
      <c r="BM96" s="922"/>
      <c r="BN96" s="922"/>
      <c r="BO96" s="922"/>
      <c r="BP96" s="922"/>
      <c r="BQ96" s="922"/>
      <c r="BR96" s="922"/>
      <c r="BS96" s="922"/>
      <c r="BT96" s="922"/>
      <c r="BU96" s="922"/>
      <c r="BV96" s="922"/>
      <c r="BW96" s="922"/>
      <c r="BX96" s="922"/>
      <c r="BY96" s="922"/>
      <c r="BZ96" s="922"/>
      <c r="CA96" s="922"/>
      <c r="CB96" s="922"/>
      <c r="CC96" s="922"/>
      <c r="CD96" s="922"/>
      <c r="CE96" s="922"/>
      <c r="CF96" s="922"/>
      <c r="CG96" s="922"/>
      <c r="CH96" s="922"/>
      <c r="CI96" s="922"/>
      <c r="CJ96" s="922"/>
      <c r="CK96" s="922"/>
      <c r="CL96" s="922"/>
      <c r="CM96" s="922"/>
      <c r="CN96" s="922"/>
      <c r="CO96" s="922"/>
      <c r="CP96" s="922"/>
      <c r="CQ96" s="922"/>
      <c r="CR96" s="922"/>
      <c r="CS96" s="922"/>
      <c r="CT96" s="922"/>
      <c r="CU96" s="922"/>
      <c r="CV96" s="922"/>
      <c r="CW96" s="922"/>
      <c r="CX96" s="922"/>
      <c r="CY96" s="922"/>
      <c r="CZ96" s="922"/>
      <c r="DA96" s="922"/>
      <c r="DB96" s="922"/>
      <c r="DC96" s="922"/>
      <c r="DD96" s="922"/>
      <c r="DE96" s="922"/>
      <c r="DF96" s="922"/>
      <c r="DG96" s="922"/>
      <c r="DH96" s="922"/>
      <c r="DI96" s="922"/>
      <c r="DJ96" s="922"/>
      <c r="DK96" s="922"/>
      <c r="DL96" s="922"/>
      <c r="DM96" s="922"/>
      <c r="DN96" s="922"/>
      <c r="DO96" s="922"/>
      <c r="DP96" s="922"/>
      <c r="DQ96" s="922"/>
      <c r="DR96" s="922"/>
      <c r="DS96" s="922"/>
      <c r="DT96" s="922"/>
      <c r="DU96" s="922"/>
      <c r="DV96" s="922"/>
      <c r="DW96" s="922"/>
      <c r="DX96" s="922"/>
      <c r="DY96" s="922"/>
      <c r="DZ96" s="922"/>
      <c r="EA96" s="922"/>
      <c r="EB96" s="922"/>
      <c r="EC96" s="922"/>
      <c r="ED96" s="922"/>
      <c r="EE96" s="922"/>
      <c r="EF96" s="922"/>
      <c r="EG96" s="922"/>
      <c r="EH96" s="922"/>
      <c r="EI96" s="922"/>
      <c r="EJ96" s="922"/>
      <c r="EK96" s="922"/>
      <c r="EL96" s="922"/>
      <c r="EM96" s="922"/>
      <c r="EN96" s="922"/>
      <c r="EO96" s="922"/>
      <c r="EP96" s="922"/>
      <c r="EQ96" s="922"/>
      <c r="ER96" s="922"/>
      <c r="ES96" s="922"/>
      <c r="ET96" s="922"/>
      <c r="EU96" s="922"/>
      <c r="EV96" s="922"/>
      <c r="EW96" s="922"/>
    </row>
    <row r="97" spans="1:153">
      <c r="A97" s="320">
        <v>88</v>
      </c>
      <c r="B97" s="759"/>
      <c r="C97" s="759"/>
      <c r="D97" s="759"/>
      <c r="E97" s="760"/>
      <c r="F97" s="761"/>
      <c r="G97" s="761"/>
      <c r="H97" s="762"/>
      <c r="I97" s="762"/>
      <c r="J97" s="763"/>
      <c r="K97" s="763"/>
      <c r="L97" s="763"/>
      <c r="M97" s="763"/>
      <c r="N97" s="764"/>
      <c r="O97" s="761"/>
      <c r="P97" s="761"/>
      <c r="Q97" s="761"/>
      <c r="R97" s="761"/>
      <c r="S97" s="761"/>
      <c r="T97" s="761"/>
      <c r="U97" s="761"/>
      <c r="V97" s="761"/>
      <c r="W97" s="765"/>
      <c r="X97" s="766"/>
      <c r="Y97" s="766"/>
      <c r="Z97" s="766"/>
      <c r="AA97" s="766"/>
      <c r="AB97" s="766"/>
      <c r="AC97" s="766"/>
      <c r="AD97" s="920">
        <v>88</v>
      </c>
      <c r="AE97" s="922"/>
      <c r="AF97" s="922"/>
      <c r="AG97" s="922"/>
      <c r="AH97" s="922"/>
      <c r="AI97" s="922"/>
      <c r="AJ97" s="922"/>
      <c r="AK97" s="922"/>
      <c r="AL97" s="922"/>
      <c r="AM97" s="922"/>
      <c r="AN97" s="922"/>
      <c r="AO97" s="922"/>
      <c r="AP97" s="922"/>
      <c r="AQ97" s="922"/>
      <c r="AR97" s="922"/>
      <c r="AS97" s="922"/>
      <c r="AT97" s="922"/>
      <c r="AU97" s="922"/>
      <c r="AV97" s="922"/>
      <c r="AW97" s="922"/>
      <c r="AX97" s="922"/>
      <c r="AY97" s="922"/>
      <c r="AZ97" s="922"/>
      <c r="BA97" s="922"/>
      <c r="BB97" s="922"/>
      <c r="BC97" s="922"/>
      <c r="BD97" s="922"/>
      <c r="BE97" s="922"/>
      <c r="BF97" s="922"/>
      <c r="BG97" s="922"/>
      <c r="BH97" s="922"/>
      <c r="BI97" s="922"/>
      <c r="BJ97" s="922"/>
      <c r="BK97" s="922"/>
      <c r="BL97" s="922"/>
      <c r="BM97" s="922"/>
      <c r="BN97" s="922"/>
      <c r="BO97" s="922"/>
      <c r="BP97" s="922"/>
      <c r="BQ97" s="922"/>
      <c r="BR97" s="922"/>
      <c r="BS97" s="922"/>
      <c r="BT97" s="922"/>
      <c r="BU97" s="922"/>
      <c r="BV97" s="922"/>
      <c r="BW97" s="922"/>
      <c r="BX97" s="922"/>
      <c r="BY97" s="922"/>
      <c r="BZ97" s="922"/>
      <c r="CA97" s="922"/>
      <c r="CB97" s="922"/>
      <c r="CC97" s="922"/>
      <c r="CD97" s="922"/>
      <c r="CE97" s="922"/>
      <c r="CF97" s="922"/>
      <c r="CG97" s="922"/>
      <c r="CH97" s="922"/>
      <c r="CI97" s="922"/>
      <c r="CJ97" s="922"/>
      <c r="CK97" s="922"/>
      <c r="CL97" s="922"/>
      <c r="CM97" s="922"/>
      <c r="CN97" s="922"/>
      <c r="CO97" s="922"/>
      <c r="CP97" s="922"/>
      <c r="CQ97" s="922"/>
      <c r="CR97" s="922"/>
      <c r="CS97" s="922"/>
      <c r="CT97" s="922"/>
      <c r="CU97" s="922"/>
      <c r="CV97" s="922"/>
      <c r="CW97" s="922"/>
      <c r="CX97" s="922"/>
      <c r="CY97" s="922"/>
      <c r="CZ97" s="922"/>
      <c r="DA97" s="922"/>
      <c r="DB97" s="922"/>
      <c r="DC97" s="922"/>
      <c r="DD97" s="922"/>
      <c r="DE97" s="922"/>
      <c r="DF97" s="922"/>
      <c r="DG97" s="922"/>
      <c r="DH97" s="922"/>
      <c r="DI97" s="922"/>
      <c r="DJ97" s="922"/>
      <c r="DK97" s="922"/>
      <c r="DL97" s="922"/>
      <c r="DM97" s="922"/>
      <c r="DN97" s="922"/>
      <c r="DO97" s="922"/>
      <c r="DP97" s="922"/>
      <c r="DQ97" s="922"/>
      <c r="DR97" s="922"/>
      <c r="DS97" s="922"/>
      <c r="DT97" s="922"/>
      <c r="DU97" s="922"/>
      <c r="DV97" s="922"/>
      <c r="DW97" s="922"/>
      <c r="DX97" s="922"/>
      <c r="DY97" s="922"/>
      <c r="DZ97" s="922"/>
      <c r="EA97" s="922"/>
      <c r="EB97" s="922"/>
      <c r="EC97" s="922"/>
      <c r="ED97" s="922"/>
      <c r="EE97" s="922"/>
      <c r="EF97" s="922"/>
      <c r="EG97" s="922"/>
      <c r="EH97" s="922"/>
      <c r="EI97" s="922"/>
      <c r="EJ97" s="922"/>
      <c r="EK97" s="922"/>
      <c r="EL97" s="922"/>
      <c r="EM97" s="922"/>
      <c r="EN97" s="922"/>
      <c r="EO97" s="922"/>
      <c r="EP97" s="922"/>
      <c r="EQ97" s="922"/>
      <c r="ER97" s="922"/>
      <c r="ES97" s="922"/>
      <c r="ET97" s="922"/>
      <c r="EU97" s="922"/>
      <c r="EV97" s="922"/>
      <c r="EW97" s="922"/>
    </row>
    <row r="98" spans="1:153">
      <c r="A98" s="320">
        <v>89</v>
      </c>
      <c r="B98" s="759"/>
      <c r="C98" s="759"/>
      <c r="D98" s="759"/>
      <c r="E98" s="760"/>
      <c r="F98" s="761"/>
      <c r="G98" s="761"/>
      <c r="H98" s="762"/>
      <c r="I98" s="762"/>
      <c r="J98" s="763"/>
      <c r="K98" s="763"/>
      <c r="L98" s="763"/>
      <c r="M98" s="763"/>
      <c r="N98" s="764"/>
      <c r="O98" s="761"/>
      <c r="P98" s="761"/>
      <c r="Q98" s="761"/>
      <c r="R98" s="761"/>
      <c r="S98" s="761"/>
      <c r="T98" s="761"/>
      <c r="U98" s="761"/>
      <c r="V98" s="761"/>
      <c r="W98" s="765"/>
      <c r="X98" s="766"/>
      <c r="Y98" s="766"/>
      <c r="Z98" s="766"/>
      <c r="AA98" s="766"/>
      <c r="AB98" s="766"/>
      <c r="AC98" s="766"/>
      <c r="AD98" s="920">
        <v>89</v>
      </c>
      <c r="AE98" s="922"/>
      <c r="AF98" s="922"/>
      <c r="AG98" s="922"/>
      <c r="AH98" s="922"/>
      <c r="AI98" s="922"/>
      <c r="AJ98" s="922"/>
      <c r="AK98" s="922"/>
      <c r="AL98" s="922"/>
      <c r="AM98" s="922"/>
      <c r="AN98" s="922"/>
      <c r="AO98" s="922"/>
      <c r="AP98" s="922"/>
      <c r="AQ98" s="922"/>
      <c r="AR98" s="922"/>
      <c r="AS98" s="922"/>
      <c r="AT98" s="922"/>
      <c r="AU98" s="922"/>
      <c r="AV98" s="922"/>
      <c r="AW98" s="922"/>
      <c r="AX98" s="922"/>
      <c r="AY98" s="922"/>
      <c r="AZ98" s="922"/>
      <c r="BA98" s="922"/>
      <c r="BB98" s="922"/>
      <c r="BC98" s="922"/>
      <c r="BD98" s="922"/>
      <c r="BE98" s="922"/>
      <c r="BF98" s="922"/>
      <c r="BG98" s="922"/>
      <c r="BH98" s="922"/>
      <c r="BI98" s="922"/>
      <c r="BJ98" s="922"/>
      <c r="BK98" s="922"/>
      <c r="BL98" s="922"/>
      <c r="BM98" s="922"/>
      <c r="BN98" s="922"/>
      <c r="BO98" s="922"/>
      <c r="BP98" s="922"/>
      <c r="BQ98" s="922"/>
      <c r="BR98" s="922"/>
      <c r="BS98" s="922"/>
      <c r="BT98" s="922"/>
      <c r="BU98" s="922"/>
      <c r="BV98" s="922"/>
      <c r="BW98" s="922"/>
      <c r="BX98" s="922"/>
      <c r="BY98" s="922"/>
      <c r="BZ98" s="922"/>
      <c r="CA98" s="922"/>
      <c r="CB98" s="922"/>
      <c r="CC98" s="922"/>
      <c r="CD98" s="922"/>
      <c r="CE98" s="922"/>
      <c r="CF98" s="922"/>
      <c r="CG98" s="922"/>
      <c r="CH98" s="922"/>
      <c r="CI98" s="922"/>
      <c r="CJ98" s="922"/>
      <c r="CK98" s="922"/>
      <c r="CL98" s="922"/>
      <c r="CM98" s="922"/>
      <c r="CN98" s="922"/>
      <c r="CO98" s="922"/>
      <c r="CP98" s="922"/>
      <c r="CQ98" s="922"/>
      <c r="CR98" s="922"/>
      <c r="CS98" s="922"/>
      <c r="CT98" s="922"/>
      <c r="CU98" s="922"/>
      <c r="CV98" s="922"/>
      <c r="CW98" s="922"/>
      <c r="CX98" s="922"/>
      <c r="CY98" s="922"/>
      <c r="CZ98" s="922"/>
      <c r="DA98" s="922"/>
      <c r="DB98" s="922"/>
      <c r="DC98" s="922"/>
      <c r="DD98" s="922"/>
      <c r="DE98" s="922"/>
      <c r="DF98" s="922"/>
      <c r="DG98" s="922"/>
      <c r="DH98" s="922"/>
      <c r="DI98" s="922"/>
      <c r="DJ98" s="922"/>
      <c r="DK98" s="922"/>
      <c r="DL98" s="922"/>
      <c r="DM98" s="922"/>
      <c r="DN98" s="922"/>
      <c r="DO98" s="922"/>
      <c r="DP98" s="922"/>
      <c r="DQ98" s="922"/>
      <c r="DR98" s="922"/>
      <c r="DS98" s="922"/>
      <c r="DT98" s="922"/>
      <c r="DU98" s="922"/>
      <c r="DV98" s="922"/>
      <c r="DW98" s="922"/>
      <c r="DX98" s="922"/>
      <c r="DY98" s="922"/>
      <c r="DZ98" s="922"/>
      <c r="EA98" s="922"/>
      <c r="EB98" s="922"/>
      <c r="EC98" s="922"/>
      <c r="ED98" s="922"/>
      <c r="EE98" s="922"/>
      <c r="EF98" s="922"/>
      <c r="EG98" s="922"/>
      <c r="EH98" s="922"/>
      <c r="EI98" s="922"/>
      <c r="EJ98" s="922"/>
      <c r="EK98" s="922"/>
      <c r="EL98" s="922"/>
      <c r="EM98" s="922"/>
      <c r="EN98" s="922"/>
      <c r="EO98" s="922"/>
      <c r="EP98" s="922"/>
      <c r="EQ98" s="922"/>
      <c r="ER98" s="922"/>
      <c r="ES98" s="922"/>
      <c r="ET98" s="922"/>
      <c r="EU98" s="922"/>
      <c r="EV98" s="922"/>
      <c r="EW98" s="922"/>
    </row>
    <row r="99" spans="1:153">
      <c r="A99" s="320">
        <v>90</v>
      </c>
      <c r="B99" s="759"/>
      <c r="C99" s="759"/>
      <c r="D99" s="759"/>
      <c r="E99" s="760"/>
      <c r="F99" s="761"/>
      <c r="G99" s="761"/>
      <c r="H99" s="762"/>
      <c r="I99" s="762"/>
      <c r="J99" s="763"/>
      <c r="K99" s="763"/>
      <c r="L99" s="763"/>
      <c r="M99" s="763"/>
      <c r="N99" s="764"/>
      <c r="O99" s="761"/>
      <c r="P99" s="761"/>
      <c r="Q99" s="761"/>
      <c r="R99" s="761"/>
      <c r="S99" s="761"/>
      <c r="T99" s="761"/>
      <c r="U99" s="761"/>
      <c r="V99" s="761"/>
      <c r="W99" s="765"/>
      <c r="X99" s="766"/>
      <c r="Y99" s="766"/>
      <c r="Z99" s="766"/>
      <c r="AA99" s="766"/>
      <c r="AB99" s="766"/>
      <c r="AC99" s="766"/>
      <c r="AD99" s="920">
        <v>90</v>
      </c>
      <c r="AE99" s="922"/>
      <c r="AF99" s="922"/>
      <c r="AG99" s="922"/>
      <c r="AH99" s="922"/>
      <c r="AI99" s="922"/>
      <c r="AJ99" s="922"/>
      <c r="AK99" s="922"/>
      <c r="AL99" s="922"/>
      <c r="AM99" s="922"/>
      <c r="AN99" s="922"/>
      <c r="AO99" s="922"/>
      <c r="AP99" s="922"/>
      <c r="AQ99" s="922"/>
      <c r="AR99" s="922"/>
      <c r="AS99" s="922"/>
      <c r="AT99" s="922"/>
      <c r="AU99" s="922"/>
      <c r="AV99" s="922"/>
      <c r="AW99" s="922"/>
      <c r="AX99" s="922"/>
      <c r="AY99" s="922"/>
      <c r="AZ99" s="922"/>
      <c r="BA99" s="922"/>
      <c r="BB99" s="922"/>
      <c r="BC99" s="922"/>
      <c r="BD99" s="922"/>
      <c r="BE99" s="922"/>
      <c r="BF99" s="922"/>
      <c r="BG99" s="922"/>
      <c r="BH99" s="922"/>
      <c r="BI99" s="922"/>
      <c r="BJ99" s="922"/>
      <c r="BK99" s="922"/>
      <c r="BL99" s="922"/>
      <c r="BM99" s="922"/>
      <c r="BN99" s="922"/>
      <c r="BO99" s="922"/>
      <c r="BP99" s="922"/>
      <c r="BQ99" s="922"/>
      <c r="BR99" s="922"/>
      <c r="BS99" s="922"/>
      <c r="BT99" s="922"/>
      <c r="BU99" s="922"/>
      <c r="BV99" s="922"/>
      <c r="BW99" s="922"/>
      <c r="BX99" s="922"/>
      <c r="BY99" s="922"/>
      <c r="BZ99" s="922"/>
      <c r="CA99" s="922"/>
      <c r="CB99" s="922"/>
      <c r="CC99" s="922"/>
      <c r="CD99" s="922"/>
      <c r="CE99" s="922"/>
      <c r="CF99" s="922"/>
      <c r="CG99" s="922"/>
      <c r="CH99" s="922"/>
      <c r="CI99" s="922"/>
      <c r="CJ99" s="922"/>
      <c r="CK99" s="922"/>
      <c r="CL99" s="922"/>
      <c r="CM99" s="922"/>
      <c r="CN99" s="922"/>
      <c r="CO99" s="922"/>
      <c r="CP99" s="922"/>
      <c r="CQ99" s="922"/>
      <c r="CR99" s="922"/>
      <c r="CS99" s="922"/>
      <c r="CT99" s="922"/>
      <c r="CU99" s="922"/>
      <c r="CV99" s="922"/>
      <c r="CW99" s="922"/>
      <c r="CX99" s="922"/>
      <c r="CY99" s="922"/>
      <c r="CZ99" s="922"/>
      <c r="DA99" s="922"/>
      <c r="DB99" s="922"/>
      <c r="DC99" s="922"/>
      <c r="DD99" s="922"/>
      <c r="DE99" s="922"/>
      <c r="DF99" s="922"/>
      <c r="DG99" s="922"/>
      <c r="DH99" s="922"/>
      <c r="DI99" s="922"/>
      <c r="DJ99" s="922"/>
      <c r="DK99" s="922"/>
      <c r="DL99" s="922"/>
      <c r="DM99" s="922"/>
      <c r="DN99" s="922"/>
      <c r="DO99" s="922"/>
      <c r="DP99" s="922"/>
      <c r="DQ99" s="922"/>
      <c r="DR99" s="922"/>
      <c r="DS99" s="922"/>
      <c r="DT99" s="922"/>
      <c r="DU99" s="922"/>
      <c r="DV99" s="922"/>
      <c r="DW99" s="922"/>
      <c r="DX99" s="922"/>
      <c r="DY99" s="922"/>
      <c r="DZ99" s="922"/>
      <c r="EA99" s="922"/>
      <c r="EB99" s="922"/>
      <c r="EC99" s="922"/>
      <c r="ED99" s="922"/>
      <c r="EE99" s="922"/>
      <c r="EF99" s="922"/>
      <c r="EG99" s="922"/>
      <c r="EH99" s="922"/>
      <c r="EI99" s="922"/>
      <c r="EJ99" s="922"/>
      <c r="EK99" s="922"/>
      <c r="EL99" s="922"/>
      <c r="EM99" s="922"/>
      <c r="EN99" s="922"/>
      <c r="EO99" s="922"/>
      <c r="EP99" s="922"/>
      <c r="EQ99" s="922"/>
      <c r="ER99" s="922"/>
      <c r="ES99" s="922"/>
      <c r="ET99" s="922"/>
      <c r="EU99" s="922"/>
      <c r="EV99" s="922"/>
      <c r="EW99" s="922"/>
    </row>
    <row r="100" spans="1:153">
      <c r="A100" s="320">
        <v>91</v>
      </c>
      <c r="B100" s="759"/>
      <c r="C100" s="759"/>
      <c r="D100" s="759"/>
      <c r="E100" s="760"/>
      <c r="F100" s="761"/>
      <c r="G100" s="761"/>
      <c r="H100" s="762"/>
      <c r="I100" s="762"/>
      <c r="J100" s="763"/>
      <c r="K100" s="763"/>
      <c r="L100" s="763"/>
      <c r="M100" s="763"/>
      <c r="N100" s="764"/>
      <c r="O100" s="761"/>
      <c r="P100" s="761"/>
      <c r="Q100" s="761"/>
      <c r="R100" s="761"/>
      <c r="S100" s="761"/>
      <c r="T100" s="761"/>
      <c r="U100" s="761"/>
      <c r="V100" s="761"/>
      <c r="W100" s="765"/>
      <c r="X100" s="766"/>
      <c r="Y100" s="766"/>
      <c r="Z100" s="766"/>
      <c r="AA100" s="766"/>
      <c r="AB100" s="766"/>
      <c r="AC100" s="766"/>
      <c r="AD100" s="920">
        <v>91</v>
      </c>
      <c r="AE100" s="922"/>
      <c r="AF100" s="922"/>
      <c r="AG100" s="922"/>
      <c r="AH100" s="922"/>
      <c r="AI100" s="922"/>
      <c r="AJ100" s="922"/>
      <c r="AK100" s="922"/>
      <c r="AL100" s="922"/>
      <c r="AM100" s="922"/>
      <c r="AN100" s="922"/>
      <c r="AO100" s="922"/>
      <c r="AP100" s="922"/>
      <c r="AQ100" s="922"/>
      <c r="AR100" s="922"/>
      <c r="AS100" s="922"/>
      <c r="AT100" s="922"/>
      <c r="AU100" s="922"/>
      <c r="AV100" s="922"/>
      <c r="AW100" s="922"/>
      <c r="AX100" s="922"/>
      <c r="AY100" s="922"/>
      <c r="AZ100" s="922"/>
      <c r="BA100" s="922"/>
      <c r="BB100" s="922"/>
      <c r="BC100" s="922"/>
      <c r="BD100" s="922"/>
      <c r="BE100" s="922"/>
      <c r="BF100" s="922"/>
      <c r="BG100" s="922"/>
      <c r="BH100" s="922"/>
      <c r="BI100" s="922"/>
      <c r="BJ100" s="922"/>
      <c r="BK100" s="922"/>
      <c r="BL100" s="922"/>
      <c r="BM100" s="922"/>
      <c r="BN100" s="922"/>
      <c r="BO100" s="922"/>
      <c r="BP100" s="922"/>
      <c r="BQ100" s="922"/>
      <c r="BR100" s="922"/>
      <c r="BS100" s="922"/>
      <c r="BT100" s="922"/>
      <c r="BU100" s="922"/>
      <c r="BV100" s="922"/>
      <c r="BW100" s="922"/>
      <c r="BX100" s="922"/>
      <c r="BY100" s="922"/>
      <c r="BZ100" s="922"/>
      <c r="CA100" s="922"/>
      <c r="CB100" s="922"/>
      <c r="CC100" s="922"/>
      <c r="CD100" s="922"/>
      <c r="CE100" s="922"/>
      <c r="CF100" s="922"/>
      <c r="CG100" s="922"/>
      <c r="CH100" s="922"/>
      <c r="CI100" s="922"/>
      <c r="CJ100" s="922"/>
      <c r="CK100" s="922"/>
      <c r="CL100" s="922"/>
      <c r="CM100" s="922"/>
      <c r="CN100" s="922"/>
      <c r="CO100" s="922"/>
      <c r="CP100" s="922"/>
      <c r="CQ100" s="922"/>
      <c r="CR100" s="922"/>
      <c r="CS100" s="922"/>
      <c r="CT100" s="922"/>
      <c r="CU100" s="922"/>
      <c r="CV100" s="922"/>
      <c r="CW100" s="922"/>
      <c r="CX100" s="922"/>
      <c r="CY100" s="922"/>
      <c r="CZ100" s="922"/>
      <c r="DA100" s="922"/>
      <c r="DB100" s="922"/>
      <c r="DC100" s="922"/>
      <c r="DD100" s="922"/>
      <c r="DE100" s="922"/>
      <c r="DF100" s="922"/>
      <c r="DG100" s="922"/>
      <c r="DH100" s="922"/>
      <c r="DI100" s="922"/>
      <c r="DJ100" s="922"/>
      <c r="DK100" s="922"/>
      <c r="DL100" s="922"/>
      <c r="DM100" s="922"/>
      <c r="DN100" s="922"/>
      <c r="DO100" s="922"/>
      <c r="DP100" s="922"/>
      <c r="DQ100" s="922"/>
      <c r="DR100" s="922"/>
      <c r="DS100" s="922"/>
      <c r="DT100" s="922"/>
      <c r="DU100" s="922"/>
      <c r="DV100" s="922"/>
      <c r="DW100" s="922"/>
      <c r="DX100" s="922"/>
      <c r="DY100" s="922"/>
      <c r="DZ100" s="922"/>
      <c r="EA100" s="922"/>
      <c r="EB100" s="922"/>
      <c r="EC100" s="922"/>
      <c r="ED100" s="922"/>
      <c r="EE100" s="922"/>
      <c r="EF100" s="922"/>
      <c r="EG100" s="922"/>
      <c r="EH100" s="922"/>
      <c r="EI100" s="922"/>
      <c r="EJ100" s="922"/>
      <c r="EK100" s="922"/>
      <c r="EL100" s="922"/>
      <c r="EM100" s="922"/>
      <c r="EN100" s="922"/>
      <c r="EO100" s="922"/>
      <c r="EP100" s="922"/>
      <c r="EQ100" s="922"/>
      <c r="ER100" s="922"/>
      <c r="ES100" s="922"/>
      <c r="ET100" s="922"/>
      <c r="EU100" s="922"/>
      <c r="EV100" s="922"/>
      <c r="EW100" s="922"/>
    </row>
    <row r="101" spans="1:153">
      <c r="A101" s="320">
        <v>92</v>
      </c>
      <c r="B101" s="759"/>
      <c r="C101" s="759"/>
      <c r="D101" s="759"/>
      <c r="E101" s="760"/>
      <c r="F101" s="761"/>
      <c r="G101" s="761"/>
      <c r="H101" s="762"/>
      <c r="I101" s="762"/>
      <c r="J101" s="763"/>
      <c r="K101" s="763"/>
      <c r="L101" s="763"/>
      <c r="M101" s="763"/>
      <c r="N101" s="764"/>
      <c r="O101" s="761"/>
      <c r="P101" s="761"/>
      <c r="Q101" s="761"/>
      <c r="R101" s="761"/>
      <c r="S101" s="761"/>
      <c r="T101" s="761"/>
      <c r="U101" s="761"/>
      <c r="V101" s="761"/>
      <c r="W101" s="765"/>
      <c r="X101" s="766"/>
      <c r="Y101" s="766"/>
      <c r="Z101" s="766"/>
      <c r="AA101" s="766"/>
      <c r="AB101" s="766"/>
      <c r="AC101" s="766"/>
      <c r="AD101" s="920">
        <v>92</v>
      </c>
      <c r="AE101" s="922"/>
      <c r="AF101" s="922"/>
      <c r="AG101" s="922"/>
      <c r="AH101" s="922"/>
      <c r="AI101" s="922"/>
      <c r="AJ101" s="922"/>
      <c r="AK101" s="922"/>
      <c r="AL101" s="922"/>
      <c r="AM101" s="922"/>
      <c r="AN101" s="922"/>
      <c r="AO101" s="922"/>
      <c r="AP101" s="922"/>
      <c r="AQ101" s="922"/>
      <c r="AR101" s="922"/>
      <c r="AS101" s="922"/>
      <c r="AT101" s="922"/>
      <c r="AU101" s="922"/>
      <c r="AV101" s="922"/>
      <c r="AW101" s="922"/>
      <c r="AX101" s="922"/>
      <c r="AY101" s="922"/>
      <c r="AZ101" s="922"/>
      <c r="BA101" s="922"/>
      <c r="BB101" s="922"/>
      <c r="BC101" s="922"/>
      <c r="BD101" s="922"/>
      <c r="BE101" s="922"/>
      <c r="BF101" s="922"/>
      <c r="BG101" s="922"/>
      <c r="BH101" s="922"/>
      <c r="BI101" s="922"/>
      <c r="BJ101" s="922"/>
      <c r="BK101" s="922"/>
      <c r="BL101" s="922"/>
      <c r="BM101" s="922"/>
      <c r="BN101" s="922"/>
      <c r="BO101" s="922"/>
      <c r="BP101" s="922"/>
      <c r="BQ101" s="922"/>
      <c r="BR101" s="922"/>
      <c r="BS101" s="922"/>
      <c r="BT101" s="922"/>
      <c r="BU101" s="922"/>
      <c r="BV101" s="922"/>
      <c r="BW101" s="922"/>
      <c r="BX101" s="922"/>
      <c r="BY101" s="922"/>
      <c r="BZ101" s="922"/>
      <c r="CA101" s="922"/>
      <c r="CB101" s="922"/>
      <c r="CC101" s="922"/>
      <c r="CD101" s="922"/>
      <c r="CE101" s="922"/>
      <c r="CF101" s="922"/>
      <c r="CG101" s="922"/>
      <c r="CH101" s="922"/>
      <c r="CI101" s="922"/>
      <c r="CJ101" s="922"/>
      <c r="CK101" s="922"/>
      <c r="CL101" s="922"/>
      <c r="CM101" s="922"/>
      <c r="CN101" s="922"/>
      <c r="CO101" s="922"/>
      <c r="CP101" s="922"/>
      <c r="CQ101" s="922"/>
      <c r="CR101" s="922"/>
      <c r="CS101" s="922"/>
      <c r="CT101" s="922"/>
      <c r="CU101" s="922"/>
      <c r="CV101" s="922"/>
      <c r="CW101" s="922"/>
      <c r="CX101" s="922"/>
      <c r="CY101" s="922"/>
      <c r="CZ101" s="922"/>
      <c r="DA101" s="922"/>
      <c r="DB101" s="922"/>
      <c r="DC101" s="922"/>
      <c r="DD101" s="922"/>
      <c r="DE101" s="922"/>
      <c r="DF101" s="922"/>
      <c r="DG101" s="922"/>
      <c r="DH101" s="922"/>
      <c r="DI101" s="922"/>
      <c r="DJ101" s="922"/>
      <c r="DK101" s="922"/>
      <c r="DL101" s="922"/>
      <c r="DM101" s="922"/>
      <c r="DN101" s="922"/>
      <c r="DO101" s="922"/>
      <c r="DP101" s="922"/>
      <c r="DQ101" s="922"/>
      <c r="DR101" s="922"/>
      <c r="DS101" s="922"/>
      <c r="DT101" s="922"/>
      <c r="DU101" s="922"/>
      <c r="DV101" s="922"/>
      <c r="DW101" s="922"/>
      <c r="DX101" s="922"/>
      <c r="DY101" s="922"/>
      <c r="DZ101" s="922"/>
      <c r="EA101" s="922"/>
      <c r="EB101" s="922"/>
      <c r="EC101" s="922"/>
      <c r="ED101" s="922"/>
      <c r="EE101" s="922"/>
      <c r="EF101" s="922"/>
      <c r="EG101" s="922"/>
      <c r="EH101" s="922"/>
      <c r="EI101" s="922"/>
      <c r="EJ101" s="922"/>
      <c r="EK101" s="922"/>
      <c r="EL101" s="922"/>
      <c r="EM101" s="922"/>
      <c r="EN101" s="922"/>
      <c r="EO101" s="922"/>
      <c r="EP101" s="922"/>
      <c r="EQ101" s="922"/>
      <c r="ER101" s="922"/>
      <c r="ES101" s="922"/>
      <c r="ET101" s="922"/>
      <c r="EU101" s="922"/>
      <c r="EV101" s="922"/>
      <c r="EW101" s="922"/>
    </row>
    <row r="102" spans="1:153">
      <c r="A102" s="320">
        <v>93</v>
      </c>
      <c r="B102" s="759"/>
      <c r="C102" s="759"/>
      <c r="D102" s="759"/>
      <c r="E102" s="760"/>
      <c r="F102" s="761"/>
      <c r="G102" s="761"/>
      <c r="H102" s="762"/>
      <c r="I102" s="762"/>
      <c r="J102" s="763"/>
      <c r="K102" s="763"/>
      <c r="L102" s="763"/>
      <c r="M102" s="763"/>
      <c r="N102" s="764"/>
      <c r="O102" s="761"/>
      <c r="P102" s="761"/>
      <c r="Q102" s="761"/>
      <c r="R102" s="761"/>
      <c r="S102" s="761"/>
      <c r="T102" s="761"/>
      <c r="U102" s="761"/>
      <c r="V102" s="761"/>
      <c r="W102" s="765"/>
      <c r="X102" s="766"/>
      <c r="Y102" s="766"/>
      <c r="Z102" s="766"/>
      <c r="AA102" s="766"/>
      <c r="AB102" s="766"/>
      <c r="AC102" s="766"/>
      <c r="AD102" s="920">
        <v>93</v>
      </c>
      <c r="AE102" s="922"/>
      <c r="AF102" s="922"/>
      <c r="AG102" s="922"/>
      <c r="AH102" s="922"/>
      <c r="AI102" s="922"/>
      <c r="AJ102" s="922"/>
      <c r="AK102" s="922"/>
      <c r="AL102" s="922"/>
      <c r="AM102" s="922"/>
      <c r="AN102" s="922"/>
      <c r="AO102" s="922"/>
      <c r="AP102" s="922"/>
      <c r="AQ102" s="922"/>
      <c r="AR102" s="922"/>
      <c r="AS102" s="922"/>
      <c r="AT102" s="922"/>
      <c r="AU102" s="922"/>
      <c r="AV102" s="922"/>
      <c r="AW102" s="922"/>
      <c r="AX102" s="922"/>
      <c r="AY102" s="922"/>
      <c r="AZ102" s="922"/>
      <c r="BA102" s="922"/>
      <c r="BB102" s="922"/>
      <c r="BC102" s="922"/>
      <c r="BD102" s="922"/>
      <c r="BE102" s="922"/>
      <c r="BF102" s="922"/>
      <c r="BG102" s="922"/>
      <c r="BH102" s="922"/>
      <c r="BI102" s="922"/>
      <c r="BJ102" s="922"/>
      <c r="BK102" s="922"/>
      <c r="BL102" s="922"/>
      <c r="BM102" s="922"/>
      <c r="BN102" s="922"/>
      <c r="BO102" s="922"/>
      <c r="BP102" s="922"/>
      <c r="BQ102" s="922"/>
      <c r="BR102" s="922"/>
      <c r="BS102" s="922"/>
      <c r="BT102" s="922"/>
      <c r="BU102" s="922"/>
      <c r="BV102" s="922"/>
      <c r="BW102" s="922"/>
      <c r="BX102" s="922"/>
      <c r="BY102" s="922"/>
      <c r="BZ102" s="922"/>
      <c r="CA102" s="922"/>
      <c r="CB102" s="922"/>
      <c r="CC102" s="922"/>
      <c r="CD102" s="922"/>
      <c r="CE102" s="922"/>
      <c r="CF102" s="922"/>
      <c r="CG102" s="922"/>
      <c r="CH102" s="922"/>
      <c r="CI102" s="922"/>
      <c r="CJ102" s="922"/>
      <c r="CK102" s="922"/>
      <c r="CL102" s="922"/>
      <c r="CM102" s="922"/>
      <c r="CN102" s="922"/>
      <c r="CO102" s="922"/>
      <c r="CP102" s="922"/>
      <c r="CQ102" s="922"/>
      <c r="CR102" s="922"/>
      <c r="CS102" s="922"/>
      <c r="CT102" s="922"/>
      <c r="CU102" s="922"/>
      <c r="CV102" s="922"/>
      <c r="CW102" s="922"/>
      <c r="CX102" s="922"/>
      <c r="CY102" s="922"/>
      <c r="CZ102" s="922"/>
      <c r="DA102" s="922"/>
      <c r="DB102" s="922"/>
      <c r="DC102" s="922"/>
      <c r="DD102" s="922"/>
      <c r="DE102" s="922"/>
      <c r="DF102" s="922"/>
      <c r="DG102" s="922"/>
      <c r="DH102" s="922"/>
      <c r="DI102" s="922"/>
      <c r="DJ102" s="922"/>
      <c r="DK102" s="922"/>
      <c r="DL102" s="922"/>
      <c r="DM102" s="922"/>
      <c r="DN102" s="922"/>
      <c r="DO102" s="922"/>
      <c r="DP102" s="922"/>
      <c r="DQ102" s="922"/>
      <c r="DR102" s="922"/>
      <c r="DS102" s="922"/>
      <c r="DT102" s="922"/>
      <c r="DU102" s="922"/>
      <c r="DV102" s="922"/>
      <c r="DW102" s="922"/>
      <c r="DX102" s="922"/>
      <c r="DY102" s="922"/>
      <c r="DZ102" s="922"/>
      <c r="EA102" s="922"/>
      <c r="EB102" s="922"/>
      <c r="EC102" s="922"/>
      <c r="ED102" s="922"/>
      <c r="EE102" s="922"/>
      <c r="EF102" s="922"/>
      <c r="EG102" s="922"/>
      <c r="EH102" s="922"/>
      <c r="EI102" s="922"/>
      <c r="EJ102" s="922"/>
      <c r="EK102" s="922"/>
      <c r="EL102" s="922"/>
      <c r="EM102" s="922"/>
      <c r="EN102" s="922"/>
      <c r="EO102" s="922"/>
      <c r="EP102" s="922"/>
      <c r="EQ102" s="922"/>
      <c r="ER102" s="922"/>
      <c r="ES102" s="922"/>
      <c r="ET102" s="922"/>
      <c r="EU102" s="922"/>
      <c r="EV102" s="922"/>
      <c r="EW102" s="922"/>
    </row>
    <row r="103" spans="1:153">
      <c r="A103" s="320">
        <v>94</v>
      </c>
      <c r="B103" s="759"/>
      <c r="C103" s="759"/>
      <c r="D103" s="759"/>
      <c r="E103" s="760"/>
      <c r="F103" s="761"/>
      <c r="G103" s="761"/>
      <c r="H103" s="762"/>
      <c r="I103" s="762"/>
      <c r="J103" s="763"/>
      <c r="K103" s="763"/>
      <c r="L103" s="763"/>
      <c r="M103" s="763"/>
      <c r="N103" s="764"/>
      <c r="O103" s="761"/>
      <c r="P103" s="761"/>
      <c r="Q103" s="761"/>
      <c r="R103" s="761"/>
      <c r="S103" s="761"/>
      <c r="T103" s="761"/>
      <c r="U103" s="761"/>
      <c r="V103" s="761"/>
      <c r="W103" s="765"/>
      <c r="X103" s="766"/>
      <c r="Y103" s="766"/>
      <c r="Z103" s="766"/>
      <c r="AA103" s="766"/>
      <c r="AB103" s="766"/>
      <c r="AC103" s="766"/>
      <c r="AD103" s="920">
        <v>94</v>
      </c>
      <c r="AE103" s="922"/>
      <c r="AF103" s="922"/>
      <c r="AG103" s="922"/>
      <c r="AH103" s="922"/>
      <c r="AI103" s="922"/>
      <c r="AJ103" s="922"/>
      <c r="AK103" s="922"/>
      <c r="AL103" s="922"/>
      <c r="AM103" s="922"/>
      <c r="AN103" s="922"/>
      <c r="AO103" s="922"/>
      <c r="AP103" s="922"/>
      <c r="AQ103" s="922"/>
      <c r="AR103" s="922"/>
      <c r="AS103" s="922"/>
      <c r="AT103" s="922"/>
      <c r="AU103" s="922"/>
      <c r="AV103" s="922"/>
      <c r="AW103" s="922"/>
      <c r="AX103" s="922"/>
      <c r="AY103" s="922"/>
      <c r="AZ103" s="922"/>
      <c r="BA103" s="922"/>
      <c r="BB103" s="922"/>
      <c r="BC103" s="922"/>
      <c r="BD103" s="922"/>
      <c r="BE103" s="922"/>
      <c r="BF103" s="922"/>
      <c r="BG103" s="922"/>
      <c r="BH103" s="922"/>
      <c r="BI103" s="922"/>
      <c r="BJ103" s="922"/>
      <c r="BK103" s="922"/>
      <c r="BL103" s="922"/>
      <c r="BM103" s="922"/>
      <c r="BN103" s="922"/>
      <c r="BO103" s="922"/>
      <c r="BP103" s="922"/>
      <c r="BQ103" s="922"/>
      <c r="BR103" s="922"/>
      <c r="BS103" s="922"/>
      <c r="BT103" s="922"/>
      <c r="BU103" s="922"/>
      <c r="BV103" s="922"/>
      <c r="BW103" s="922"/>
      <c r="BX103" s="922"/>
      <c r="BY103" s="922"/>
      <c r="BZ103" s="922"/>
      <c r="CA103" s="922"/>
      <c r="CB103" s="922"/>
      <c r="CC103" s="922"/>
      <c r="CD103" s="922"/>
      <c r="CE103" s="922"/>
      <c r="CF103" s="922"/>
      <c r="CG103" s="922"/>
      <c r="CH103" s="922"/>
      <c r="CI103" s="922"/>
      <c r="CJ103" s="922"/>
      <c r="CK103" s="922"/>
      <c r="CL103" s="922"/>
      <c r="CM103" s="922"/>
      <c r="CN103" s="922"/>
      <c r="CO103" s="922"/>
      <c r="CP103" s="922"/>
      <c r="CQ103" s="922"/>
      <c r="CR103" s="922"/>
      <c r="CS103" s="922"/>
      <c r="CT103" s="922"/>
      <c r="CU103" s="922"/>
      <c r="CV103" s="922"/>
      <c r="CW103" s="922"/>
      <c r="CX103" s="922"/>
      <c r="CY103" s="922"/>
      <c r="CZ103" s="922"/>
      <c r="DA103" s="922"/>
      <c r="DB103" s="922"/>
      <c r="DC103" s="922"/>
      <c r="DD103" s="922"/>
      <c r="DE103" s="922"/>
      <c r="DF103" s="922"/>
      <c r="DG103" s="922"/>
      <c r="DH103" s="922"/>
      <c r="DI103" s="922"/>
      <c r="DJ103" s="922"/>
      <c r="DK103" s="922"/>
      <c r="DL103" s="922"/>
      <c r="DM103" s="922"/>
      <c r="DN103" s="922"/>
      <c r="DO103" s="922"/>
      <c r="DP103" s="922"/>
      <c r="DQ103" s="922"/>
      <c r="DR103" s="922"/>
      <c r="DS103" s="922"/>
      <c r="DT103" s="922"/>
      <c r="DU103" s="922"/>
      <c r="DV103" s="922"/>
      <c r="DW103" s="922"/>
      <c r="DX103" s="922"/>
      <c r="DY103" s="922"/>
      <c r="DZ103" s="922"/>
      <c r="EA103" s="922"/>
      <c r="EB103" s="922"/>
      <c r="EC103" s="922"/>
      <c r="ED103" s="922"/>
      <c r="EE103" s="922"/>
      <c r="EF103" s="922"/>
      <c r="EG103" s="922"/>
      <c r="EH103" s="922"/>
      <c r="EI103" s="922"/>
      <c r="EJ103" s="922"/>
      <c r="EK103" s="922"/>
      <c r="EL103" s="922"/>
      <c r="EM103" s="922"/>
      <c r="EN103" s="922"/>
      <c r="EO103" s="922"/>
      <c r="EP103" s="922"/>
      <c r="EQ103" s="922"/>
      <c r="ER103" s="922"/>
      <c r="ES103" s="922"/>
      <c r="ET103" s="922"/>
      <c r="EU103" s="922"/>
      <c r="EV103" s="922"/>
      <c r="EW103" s="922"/>
    </row>
    <row r="104" spans="1:153">
      <c r="A104" s="320">
        <v>95</v>
      </c>
      <c r="B104" s="759"/>
      <c r="C104" s="759"/>
      <c r="D104" s="759"/>
      <c r="E104" s="760"/>
      <c r="F104" s="761"/>
      <c r="G104" s="761"/>
      <c r="H104" s="762"/>
      <c r="I104" s="762"/>
      <c r="J104" s="763"/>
      <c r="K104" s="763"/>
      <c r="L104" s="763"/>
      <c r="M104" s="763"/>
      <c r="N104" s="764"/>
      <c r="O104" s="761"/>
      <c r="P104" s="761"/>
      <c r="Q104" s="761"/>
      <c r="R104" s="761"/>
      <c r="S104" s="761"/>
      <c r="T104" s="761"/>
      <c r="U104" s="761"/>
      <c r="V104" s="761"/>
      <c r="W104" s="765"/>
      <c r="X104" s="766"/>
      <c r="Y104" s="766"/>
      <c r="Z104" s="766"/>
      <c r="AA104" s="766"/>
      <c r="AB104" s="766"/>
      <c r="AC104" s="766"/>
      <c r="AD104" s="920">
        <v>95</v>
      </c>
      <c r="AE104" s="922"/>
      <c r="AF104" s="922"/>
      <c r="AG104" s="922"/>
      <c r="AH104" s="922"/>
      <c r="AI104" s="922"/>
      <c r="AJ104" s="922"/>
      <c r="AK104" s="922"/>
      <c r="AL104" s="922"/>
      <c r="AM104" s="922"/>
      <c r="AN104" s="922"/>
      <c r="AO104" s="922"/>
      <c r="AP104" s="922"/>
      <c r="AQ104" s="922"/>
      <c r="AR104" s="922"/>
      <c r="AS104" s="922"/>
      <c r="AT104" s="922"/>
      <c r="AU104" s="922"/>
      <c r="AV104" s="922"/>
      <c r="AW104" s="922"/>
      <c r="AX104" s="922"/>
      <c r="AY104" s="922"/>
      <c r="AZ104" s="922"/>
      <c r="BA104" s="922"/>
      <c r="BB104" s="922"/>
      <c r="BC104" s="922"/>
      <c r="BD104" s="922"/>
      <c r="BE104" s="922"/>
      <c r="BF104" s="922"/>
      <c r="BG104" s="922"/>
      <c r="BH104" s="922"/>
      <c r="BI104" s="922"/>
      <c r="BJ104" s="922"/>
      <c r="BK104" s="922"/>
      <c r="BL104" s="922"/>
      <c r="BM104" s="922"/>
      <c r="BN104" s="922"/>
      <c r="BO104" s="922"/>
      <c r="BP104" s="922"/>
      <c r="BQ104" s="922"/>
      <c r="BR104" s="922"/>
      <c r="BS104" s="922"/>
      <c r="BT104" s="922"/>
      <c r="BU104" s="922"/>
      <c r="BV104" s="922"/>
      <c r="BW104" s="922"/>
      <c r="BX104" s="922"/>
      <c r="BY104" s="922"/>
      <c r="BZ104" s="922"/>
      <c r="CA104" s="922"/>
      <c r="CB104" s="922"/>
      <c r="CC104" s="922"/>
      <c r="CD104" s="922"/>
      <c r="CE104" s="922"/>
      <c r="CF104" s="922"/>
      <c r="CG104" s="922"/>
      <c r="CH104" s="922"/>
      <c r="CI104" s="922"/>
      <c r="CJ104" s="922"/>
      <c r="CK104" s="922"/>
      <c r="CL104" s="922"/>
      <c r="CM104" s="922"/>
      <c r="CN104" s="922"/>
      <c r="CO104" s="922"/>
      <c r="CP104" s="922"/>
      <c r="CQ104" s="922"/>
      <c r="CR104" s="922"/>
      <c r="CS104" s="922"/>
      <c r="CT104" s="922"/>
      <c r="CU104" s="922"/>
      <c r="CV104" s="922"/>
      <c r="CW104" s="922"/>
      <c r="CX104" s="922"/>
      <c r="CY104" s="922"/>
      <c r="CZ104" s="922"/>
      <c r="DA104" s="922"/>
      <c r="DB104" s="922"/>
      <c r="DC104" s="922"/>
      <c r="DD104" s="922"/>
      <c r="DE104" s="922"/>
      <c r="DF104" s="922"/>
      <c r="DG104" s="922"/>
      <c r="DH104" s="922"/>
      <c r="DI104" s="922"/>
      <c r="DJ104" s="922"/>
      <c r="DK104" s="922"/>
      <c r="DL104" s="922"/>
      <c r="DM104" s="922"/>
      <c r="DN104" s="922"/>
      <c r="DO104" s="922"/>
      <c r="DP104" s="922"/>
      <c r="DQ104" s="922"/>
      <c r="DR104" s="922"/>
      <c r="DS104" s="922"/>
      <c r="DT104" s="922"/>
      <c r="DU104" s="922"/>
      <c r="DV104" s="922"/>
      <c r="DW104" s="922"/>
      <c r="DX104" s="922"/>
      <c r="DY104" s="922"/>
      <c r="DZ104" s="922"/>
      <c r="EA104" s="922"/>
      <c r="EB104" s="922"/>
      <c r="EC104" s="922"/>
      <c r="ED104" s="922"/>
      <c r="EE104" s="922"/>
      <c r="EF104" s="922"/>
      <c r="EG104" s="922"/>
      <c r="EH104" s="922"/>
      <c r="EI104" s="922"/>
      <c r="EJ104" s="922"/>
      <c r="EK104" s="922"/>
      <c r="EL104" s="922"/>
      <c r="EM104" s="922"/>
      <c r="EN104" s="922"/>
      <c r="EO104" s="922"/>
      <c r="EP104" s="922"/>
      <c r="EQ104" s="922"/>
      <c r="ER104" s="922"/>
      <c r="ES104" s="922"/>
      <c r="ET104" s="922"/>
      <c r="EU104" s="922"/>
      <c r="EV104" s="922"/>
      <c r="EW104" s="922"/>
    </row>
    <row r="105" spans="1:153">
      <c r="A105" s="320">
        <v>96</v>
      </c>
      <c r="B105" s="759"/>
      <c r="C105" s="759"/>
      <c r="D105" s="759"/>
      <c r="E105" s="760"/>
      <c r="F105" s="761"/>
      <c r="G105" s="761"/>
      <c r="H105" s="762"/>
      <c r="I105" s="762"/>
      <c r="J105" s="763"/>
      <c r="K105" s="763"/>
      <c r="L105" s="763"/>
      <c r="M105" s="763"/>
      <c r="N105" s="764"/>
      <c r="O105" s="761"/>
      <c r="P105" s="761"/>
      <c r="Q105" s="761"/>
      <c r="R105" s="761"/>
      <c r="S105" s="761"/>
      <c r="T105" s="761"/>
      <c r="U105" s="761"/>
      <c r="V105" s="761"/>
      <c r="W105" s="765"/>
      <c r="X105" s="766"/>
      <c r="Y105" s="766"/>
      <c r="Z105" s="766"/>
      <c r="AA105" s="766"/>
      <c r="AB105" s="766"/>
      <c r="AC105" s="766"/>
      <c r="AD105" s="920">
        <v>96</v>
      </c>
      <c r="AE105" s="922"/>
      <c r="AF105" s="922"/>
      <c r="AG105" s="922"/>
      <c r="AH105" s="922"/>
      <c r="AI105" s="922"/>
      <c r="AJ105" s="922"/>
      <c r="AK105" s="922"/>
      <c r="AL105" s="922"/>
      <c r="AM105" s="922"/>
      <c r="AN105" s="922"/>
      <c r="AO105" s="922"/>
      <c r="AP105" s="922"/>
      <c r="AQ105" s="922"/>
      <c r="AR105" s="922"/>
      <c r="AS105" s="922"/>
      <c r="AT105" s="922"/>
      <c r="AU105" s="922"/>
      <c r="AV105" s="922"/>
      <c r="AW105" s="922"/>
      <c r="AX105" s="922"/>
      <c r="AY105" s="922"/>
      <c r="AZ105" s="922"/>
      <c r="BA105" s="922"/>
      <c r="BB105" s="922"/>
      <c r="BC105" s="922"/>
      <c r="BD105" s="922"/>
      <c r="BE105" s="922"/>
      <c r="BF105" s="922"/>
      <c r="BG105" s="922"/>
      <c r="BH105" s="922"/>
      <c r="BI105" s="922"/>
      <c r="BJ105" s="922"/>
      <c r="BK105" s="922"/>
      <c r="BL105" s="922"/>
      <c r="BM105" s="922"/>
      <c r="BN105" s="922"/>
      <c r="BO105" s="922"/>
      <c r="BP105" s="922"/>
      <c r="BQ105" s="922"/>
      <c r="BR105" s="922"/>
      <c r="BS105" s="922"/>
      <c r="BT105" s="922"/>
      <c r="BU105" s="922"/>
      <c r="BV105" s="922"/>
      <c r="BW105" s="922"/>
      <c r="BX105" s="922"/>
      <c r="BY105" s="922"/>
      <c r="BZ105" s="922"/>
      <c r="CA105" s="922"/>
      <c r="CB105" s="922"/>
      <c r="CC105" s="922"/>
      <c r="CD105" s="922"/>
      <c r="CE105" s="922"/>
      <c r="CF105" s="922"/>
      <c r="CG105" s="922"/>
      <c r="CH105" s="922"/>
      <c r="CI105" s="922"/>
      <c r="CJ105" s="922"/>
      <c r="CK105" s="922"/>
      <c r="CL105" s="922"/>
      <c r="CM105" s="922"/>
      <c r="CN105" s="922"/>
      <c r="CO105" s="922"/>
      <c r="CP105" s="922"/>
      <c r="CQ105" s="922"/>
      <c r="CR105" s="922"/>
      <c r="CS105" s="922"/>
      <c r="CT105" s="922"/>
      <c r="CU105" s="922"/>
      <c r="CV105" s="922"/>
      <c r="CW105" s="922"/>
      <c r="CX105" s="922"/>
      <c r="CY105" s="922"/>
      <c r="CZ105" s="922"/>
      <c r="DA105" s="922"/>
      <c r="DB105" s="922"/>
      <c r="DC105" s="922"/>
      <c r="DD105" s="922"/>
      <c r="DE105" s="922"/>
      <c r="DF105" s="922"/>
      <c r="DG105" s="922"/>
      <c r="DH105" s="922"/>
      <c r="DI105" s="922"/>
      <c r="DJ105" s="922"/>
      <c r="DK105" s="922"/>
      <c r="DL105" s="922"/>
      <c r="DM105" s="922"/>
      <c r="DN105" s="922"/>
      <c r="DO105" s="922"/>
      <c r="DP105" s="922"/>
      <c r="DQ105" s="922"/>
      <c r="DR105" s="922"/>
      <c r="DS105" s="922"/>
      <c r="DT105" s="922"/>
      <c r="DU105" s="922"/>
      <c r="DV105" s="922"/>
      <c r="DW105" s="922"/>
      <c r="DX105" s="922"/>
      <c r="DY105" s="922"/>
      <c r="DZ105" s="922"/>
      <c r="EA105" s="922"/>
      <c r="EB105" s="922"/>
      <c r="EC105" s="922"/>
      <c r="ED105" s="922"/>
      <c r="EE105" s="922"/>
      <c r="EF105" s="922"/>
      <c r="EG105" s="922"/>
      <c r="EH105" s="922"/>
      <c r="EI105" s="922"/>
      <c r="EJ105" s="922"/>
      <c r="EK105" s="922"/>
      <c r="EL105" s="922"/>
      <c r="EM105" s="922"/>
      <c r="EN105" s="922"/>
      <c r="EO105" s="922"/>
      <c r="EP105" s="922"/>
      <c r="EQ105" s="922"/>
      <c r="ER105" s="922"/>
      <c r="ES105" s="922"/>
      <c r="ET105" s="922"/>
      <c r="EU105" s="922"/>
      <c r="EV105" s="922"/>
      <c r="EW105" s="922"/>
    </row>
    <row r="106" spans="1:153">
      <c r="A106" s="320">
        <v>97</v>
      </c>
      <c r="B106" s="759"/>
      <c r="C106" s="759"/>
      <c r="D106" s="759"/>
      <c r="E106" s="760"/>
      <c r="F106" s="761"/>
      <c r="G106" s="761"/>
      <c r="H106" s="762"/>
      <c r="I106" s="762"/>
      <c r="J106" s="763"/>
      <c r="K106" s="763"/>
      <c r="L106" s="763"/>
      <c r="M106" s="763"/>
      <c r="N106" s="764"/>
      <c r="O106" s="761"/>
      <c r="P106" s="761"/>
      <c r="Q106" s="761"/>
      <c r="R106" s="761"/>
      <c r="S106" s="761"/>
      <c r="T106" s="761"/>
      <c r="U106" s="761"/>
      <c r="V106" s="761"/>
      <c r="W106" s="765"/>
      <c r="X106" s="766"/>
      <c r="Y106" s="766"/>
      <c r="Z106" s="766"/>
      <c r="AA106" s="766"/>
      <c r="AB106" s="766"/>
      <c r="AC106" s="766"/>
      <c r="AD106" s="920">
        <v>97</v>
      </c>
      <c r="AE106" s="922"/>
      <c r="AF106" s="922"/>
      <c r="AG106" s="922"/>
      <c r="AH106" s="922"/>
      <c r="AI106" s="922"/>
      <c r="AJ106" s="922"/>
      <c r="AK106" s="922"/>
      <c r="AL106" s="922"/>
      <c r="AM106" s="922"/>
      <c r="AN106" s="922"/>
      <c r="AO106" s="922"/>
      <c r="AP106" s="922"/>
      <c r="AQ106" s="922"/>
      <c r="AR106" s="922"/>
      <c r="AS106" s="922"/>
      <c r="AT106" s="922"/>
      <c r="AU106" s="922"/>
      <c r="AV106" s="922"/>
      <c r="AW106" s="922"/>
      <c r="AX106" s="922"/>
      <c r="AY106" s="922"/>
      <c r="AZ106" s="922"/>
      <c r="BA106" s="922"/>
      <c r="BB106" s="922"/>
      <c r="BC106" s="922"/>
      <c r="BD106" s="922"/>
      <c r="BE106" s="922"/>
      <c r="BF106" s="922"/>
      <c r="BG106" s="922"/>
      <c r="BH106" s="922"/>
      <c r="BI106" s="922"/>
      <c r="BJ106" s="922"/>
      <c r="BK106" s="922"/>
      <c r="BL106" s="922"/>
      <c r="BM106" s="922"/>
      <c r="BN106" s="922"/>
      <c r="BO106" s="922"/>
      <c r="BP106" s="922"/>
      <c r="BQ106" s="922"/>
      <c r="BR106" s="922"/>
      <c r="BS106" s="922"/>
      <c r="BT106" s="922"/>
      <c r="BU106" s="922"/>
      <c r="BV106" s="922"/>
      <c r="BW106" s="922"/>
      <c r="BX106" s="922"/>
      <c r="BY106" s="922"/>
      <c r="BZ106" s="922"/>
      <c r="CA106" s="922"/>
      <c r="CB106" s="922"/>
      <c r="CC106" s="922"/>
      <c r="CD106" s="922"/>
      <c r="CE106" s="922"/>
      <c r="CF106" s="922"/>
      <c r="CG106" s="922"/>
      <c r="CH106" s="922"/>
      <c r="CI106" s="922"/>
      <c r="CJ106" s="922"/>
      <c r="CK106" s="922"/>
      <c r="CL106" s="922"/>
      <c r="CM106" s="922"/>
      <c r="CN106" s="922"/>
      <c r="CO106" s="922"/>
      <c r="CP106" s="922"/>
      <c r="CQ106" s="922"/>
      <c r="CR106" s="922"/>
      <c r="CS106" s="922"/>
      <c r="CT106" s="922"/>
      <c r="CU106" s="922"/>
      <c r="CV106" s="922"/>
      <c r="CW106" s="922"/>
      <c r="CX106" s="922"/>
      <c r="CY106" s="922"/>
      <c r="CZ106" s="922"/>
      <c r="DA106" s="922"/>
      <c r="DB106" s="922"/>
      <c r="DC106" s="922"/>
      <c r="DD106" s="922"/>
      <c r="DE106" s="922"/>
      <c r="DF106" s="922"/>
      <c r="DG106" s="922"/>
      <c r="DH106" s="922"/>
      <c r="DI106" s="922"/>
      <c r="DJ106" s="922"/>
      <c r="DK106" s="922"/>
      <c r="DL106" s="922"/>
      <c r="DM106" s="922"/>
      <c r="DN106" s="922"/>
      <c r="DO106" s="922"/>
      <c r="DP106" s="922"/>
      <c r="DQ106" s="922"/>
      <c r="DR106" s="922"/>
      <c r="DS106" s="922"/>
      <c r="DT106" s="922"/>
      <c r="DU106" s="922"/>
      <c r="DV106" s="922"/>
      <c r="DW106" s="922"/>
      <c r="DX106" s="922"/>
      <c r="DY106" s="922"/>
      <c r="DZ106" s="922"/>
      <c r="EA106" s="922"/>
      <c r="EB106" s="922"/>
      <c r="EC106" s="922"/>
      <c r="ED106" s="922"/>
      <c r="EE106" s="922"/>
      <c r="EF106" s="922"/>
      <c r="EG106" s="922"/>
      <c r="EH106" s="922"/>
      <c r="EI106" s="922"/>
      <c r="EJ106" s="922"/>
      <c r="EK106" s="922"/>
      <c r="EL106" s="922"/>
      <c r="EM106" s="922"/>
      <c r="EN106" s="922"/>
      <c r="EO106" s="922"/>
      <c r="EP106" s="922"/>
      <c r="EQ106" s="922"/>
      <c r="ER106" s="922"/>
      <c r="ES106" s="922"/>
      <c r="ET106" s="922"/>
      <c r="EU106" s="922"/>
      <c r="EV106" s="922"/>
      <c r="EW106" s="922"/>
    </row>
    <row r="107" spans="1:153">
      <c r="A107" s="320">
        <v>98</v>
      </c>
      <c r="B107" s="759"/>
      <c r="C107" s="759"/>
      <c r="D107" s="759"/>
      <c r="E107" s="760"/>
      <c r="F107" s="761"/>
      <c r="G107" s="761"/>
      <c r="H107" s="762"/>
      <c r="I107" s="762"/>
      <c r="J107" s="763"/>
      <c r="K107" s="763"/>
      <c r="L107" s="763"/>
      <c r="M107" s="763"/>
      <c r="N107" s="764"/>
      <c r="O107" s="761"/>
      <c r="P107" s="761"/>
      <c r="Q107" s="761"/>
      <c r="R107" s="761"/>
      <c r="S107" s="761"/>
      <c r="T107" s="761"/>
      <c r="U107" s="761"/>
      <c r="V107" s="761"/>
      <c r="W107" s="765"/>
      <c r="X107" s="766"/>
      <c r="Y107" s="766"/>
      <c r="Z107" s="766"/>
      <c r="AA107" s="766"/>
      <c r="AB107" s="766"/>
      <c r="AC107" s="766"/>
      <c r="AD107" s="920">
        <v>98</v>
      </c>
      <c r="AE107" s="922"/>
      <c r="AF107" s="922"/>
      <c r="AG107" s="922"/>
      <c r="AH107" s="922"/>
      <c r="AI107" s="922"/>
      <c r="AJ107" s="922"/>
      <c r="AK107" s="922"/>
      <c r="AL107" s="922"/>
      <c r="AM107" s="922"/>
      <c r="AN107" s="922"/>
      <c r="AO107" s="922"/>
      <c r="AP107" s="922"/>
      <c r="AQ107" s="922"/>
      <c r="AR107" s="922"/>
      <c r="AS107" s="922"/>
      <c r="AT107" s="922"/>
      <c r="AU107" s="922"/>
      <c r="AV107" s="922"/>
      <c r="AW107" s="922"/>
      <c r="AX107" s="922"/>
      <c r="AY107" s="922"/>
      <c r="AZ107" s="922"/>
      <c r="BA107" s="922"/>
      <c r="BB107" s="922"/>
      <c r="BC107" s="922"/>
      <c r="BD107" s="922"/>
      <c r="BE107" s="922"/>
      <c r="BF107" s="922"/>
      <c r="BG107" s="922"/>
      <c r="BH107" s="922"/>
      <c r="BI107" s="922"/>
      <c r="BJ107" s="922"/>
      <c r="BK107" s="922"/>
      <c r="BL107" s="922"/>
      <c r="BM107" s="922"/>
      <c r="BN107" s="922"/>
      <c r="BO107" s="922"/>
      <c r="BP107" s="922"/>
      <c r="BQ107" s="922"/>
      <c r="BR107" s="922"/>
      <c r="BS107" s="922"/>
      <c r="BT107" s="922"/>
      <c r="BU107" s="922"/>
      <c r="BV107" s="922"/>
      <c r="BW107" s="922"/>
      <c r="BX107" s="922"/>
      <c r="BY107" s="922"/>
      <c r="BZ107" s="922"/>
      <c r="CA107" s="922"/>
      <c r="CB107" s="922"/>
      <c r="CC107" s="922"/>
      <c r="CD107" s="922"/>
      <c r="CE107" s="922"/>
      <c r="CF107" s="922"/>
      <c r="CG107" s="922"/>
      <c r="CH107" s="922"/>
      <c r="CI107" s="922"/>
      <c r="CJ107" s="922"/>
      <c r="CK107" s="922"/>
      <c r="CL107" s="922"/>
      <c r="CM107" s="922"/>
      <c r="CN107" s="922"/>
      <c r="CO107" s="922"/>
      <c r="CP107" s="922"/>
      <c r="CQ107" s="922"/>
      <c r="CR107" s="922"/>
      <c r="CS107" s="922"/>
      <c r="CT107" s="922"/>
      <c r="CU107" s="922"/>
      <c r="CV107" s="922"/>
      <c r="CW107" s="922"/>
      <c r="CX107" s="922"/>
      <c r="CY107" s="922"/>
      <c r="CZ107" s="922"/>
      <c r="DA107" s="922"/>
      <c r="DB107" s="922"/>
      <c r="DC107" s="922"/>
      <c r="DD107" s="922"/>
      <c r="DE107" s="922"/>
      <c r="DF107" s="922"/>
      <c r="DG107" s="922"/>
      <c r="DH107" s="922"/>
      <c r="DI107" s="922"/>
      <c r="DJ107" s="922"/>
      <c r="DK107" s="922"/>
      <c r="DL107" s="922"/>
      <c r="DM107" s="922"/>
      <c r="DN107" s="922"/>
      <c r="DO107" s="922"/>
      <c r="DP107" s="922"/>
      <c r="DQ107" s="922"/>
      <c r="DR107" s="922"/>
      <c r="DS107" s="922"/>
      <c r="DT107" s="922"/>
      <c r="DU107" s="922"/>
      <c r="DV107" s="922"/>
      <c r="DW107" s="922"/>
      <c r="DX107" s="922"/>
      <c r="DY107" s="922"/>
      <c r="DZ107" s="922"/>
      <c r="EA107" s="922"/>
      <c r="EB107" s="922"/>
      <c r="EC107" s="922"/>
      <c r="ED107" s="922"/>
      <c r="EE107" s="922"/>
      <c r="EF107" s="922"/>
      <c r="EG107" s="922"/>
      <c r="EH107" s="922"/>
      <c r="EI107" s="922"/>
      <c r="EJ107" s="922"/>
      <c r="EK107" s="922"/>
      <c r="EL107" s="922"/>
      <c r="EM107" s="922"/>
      <c r="EN107" s="922"/>
      <c r="EO107" s="922"/>
      <c r="EP107" s="922"/>
      <c r="EQ107" s="922"/>
      <c r="ER107" s="922"/>
      <c r="ES107" s="922"/>
      <c r="ET107" s="922"/>
      <c r="EU107" s="922"/>
      <c r="EV107" s="922"/>
      <c r="EW107" s="922"/>
    </row>
    <row r="108" spans="1:153">
      <c r="A108" s="320">
        <v>99</v>
      </c>
      <c r="B108" s="759"/>
      <c r="C108" s="759"/>
      <c r="D108" s="759"/>
      <c r="E108" s="760"/>
      <c r="F108" s="761"/>
      <c r="G108" s="761"/>
      <c r="H108" s="762"/>
      <c r="I108" s="762"/>
      <c r="J108" s="763"/>
      <c r="K108" s="763"/>
      <c r="L108" s="763"/>
      <c r="M108" s="763"/>
      <c r="N108" s="764"/>
      <c r="O108" s="761"/>
      <c r="P108" s="761"/>
      <c r="Q108" s="761"/>
      <c r="R108" s="761"/>
      <c r="S108" s="761"/>
      <c r="T108" s="761"/>
      <c r="U108" s="761"/>
      <c r="V108" s="761"/>
      <c r="W108" s="765"/>
      <c r="X108" s="766"/>
      <c r="Y108" s="766"/>
      <c r="Z108" s="766"/>
      <c r="AA108" s="766"/>
      <c r="AB108" s="766"/>
      <c r="AC108" s="766"/>
      <c r="AD108" s="920">
        <v>99</v>
      </c>
      <c r="AE108" s="922"/>
      <c r="AF108" s="922"/>
      <c r="AG108" s="922"/>
      <c r="AH108" s="922"/>
      <c r="AI108" s="922"/>
      <c r="AJ108" s="922"/>
      <c r="AK108" s="922"/>
      <c r="AL108" s="922"/>
      <c r="AM108" s="922"/>
      <c r="AN108" s="922"/>
      <c r="AO108" s="922"/>
      <c r="AP108" s="922"/>
      <c r="AQ108" s="922"/>
      <c r="AR108" s="922"/>
      <c r="AS108" s="922"/>
      <c r="AT108" s="922"/>
      <c r="AU108" s="922"/>
      <c r="AV108" s="922"/>
      <c r="AW108" s="922"/>
      <c r="AX108" s="922"/>
      <c r="AY108" s="922"/>
      <c r="AZ108" s="922"/>
      <c r="BA108" s="922"/>
      <c r="BB108" s="922"/>
      <c r="BC108" s="922"/>
      <c r="BD108" s="922"/>
      <c r="BE108" s="922"/>
      <c r="BF108" s="922"/>
      <c r="BG108" s="922"/>
      <c r="BH108" s="922"/>
      <c r="BI108" s="922"/>
      <c r="BJ108" s="922"/>
      <c r="BK108" s="922"/>
      <c r="BL108" s="922"/>
      <c r="BM108" s="922"/>
      <c r="BN108" s="922"/>
      <c r="BO108" s="922"/>
      <c r="BP108" s="922"/>
      <c r="BQ108" s="922"/>
      <c r="BR108" s="922"/>
      <c r="BS108" s="922"/>
      <c r="BT108" s="922"/>
      <c r="BU108" s="922"/>
      <c r="BV108" s="922"/>
      <c r="BW108" s="922"/>
      <c r="BX108" s="922"/>
      <c r="BY108" s="922"/>
      <c r="BZ108" s="922"/>
      <c r="CA108" s="922"/>
      <c r="CB108" s="922"/>
      <c r="CC108" s="922"/>
      <c r="CD108" s="922"/>
      <c r="CE108" s="922"/>
      <c r="CF108" s="922"/>
      <c r="CG108" s="922"/>
      <c r="CH108" s="922"/>
      <c r="CI108" s="922"/>
      <c r="CJ108" s="922"/>
      <c r="CK108" s="922"/>
      <c r="CL108" s="922"/>
      <c r="CM108" s="922"/>
      <c r="CN108" s="922"/>
      <c r="CO108" s="922"/>
      <c r="CP108" s="922"/>
      <c r="CQ108" s="922"/>
      <c r="CR108" s="922"/>
      <c r="CS108" s="922"/>
      <c r="CT108" s="922"/>
      <c r="CU108" s="922"/>
      <c r="CV108" s="922"/>
      <c r="CW108" s="922"/>
      <c r="CX108" s="922"/>
      <c r="CY108" s="922"/>
      <c r="CZ108" s="922"/>
      <c r="DA108" s="922"/>
      <c r="DB108" s="922"/>
      <c r="DC108" s="922"/>
      <c r="DD108" s="922"/>
      <c r="DE108" s="922"/>
      <c r="DF108" s="922"/>
      <c r="DG108" s="922"/>
      <c r="DH108" s="922"/>
      <c r="DI108" s="922"/>
      <c r="DJ108" s="922"/>
      <c r="DK108" s="922"/>
      <c r="DL108" s="922"/>
      <c r="DM108" s="922"/>
      <c r="DN108" s="922"/>
      <c r="DO108" s="922"/>
      <c r="DP108" s="922"/>
      <c r="DQ108" s="922"/>
      <c r="DR108" s="922"/>
      <c r="DS108" s="922"/>
      <c r="DT108" s="922"/>
      <c r="DU108" s="922"/>
      <c r="DV108" s="922"/>
      <c r="DW108" s="922"/>
      <c r="DX108" s="922"/>
      <c r="DY108" s="922"/>
      <c r="DZ108" s="922"/>
      <c r="EA108" s="922"/>
      <c r="EB108" s="922"/>
      <c r="EC108" s="922"/>
      <c r="ED108" s="922"/>
      <c r="EE108" s="922"/>
      <c r="EF108" s="922"/>
      <c r="EG108" s="922"/>
      <c r="EH108" s="922"/>
      <c r="EI108" s="922"/>
      <c r="EJ108" s="922"/>
      <c r="EK108" s="922"/>
      <c r="EL108" s="922"/>
      <c r="EM108" s="922"/>
      <c r="EN108" s="922"/>
      <c r="EO108" s="922"/>
      <c r="EP108" s="922"/>
      <c r="EQ108" s="922"/>
      <c r="ER108" s="922"/>
      <c r="ES108" s="922"/>
      <c r="ET108" s="922"/>
      <c r="EU108" s="922"/>
      <c r="EV108" s="922"/>
      <c r="EW108" s="922"/>
    </row>
    <row r="109" spans="1:153">
      <c r="A109" s="320">
        <v>100</v>
      </c>
      <c r="B109" s="759"/>
      <c r="C109" s="759"/>
      <c r="D109" s="759"/>
      <c r="E109" s="760"/>
      <c r="F109" s="761"/>
      <c r="G109" s="761"/>
      <c r="H109" s="762"/>
      <c r="I109" s="762"/>
      <c r="J109" s="763"/>
      <c r="K109" s="763"/>
      <c r="L109" s="763"/>
      <c r="M109" s="763"/>
      <c r="N109" s="764"/>
      <c r="O109" s="761"/>
      <c r="P109" s="761"/>
      <c r="Q109" s="761"/>
      <c r="R109" s="761"/>
      <c r="S109" s="761"/>
      <c r="T109" s="761"/>
      <c r="U109" s="761"/>
      <c r="V109" s="761"/>
      <c r="W109" s="765"/>
      <c r="X109" s="766"/>
      <c r="Y109" s="766"/>
      <c r="Z109" s="766"/>
      <c r="AA109" s="766"/>
      <c r="AB109" s="766"/>
      <c r="AC109" s="766"/>
      <c r="AD109" s="920">
        <v>100</v>
      </c>
      <c r="AE109" s="922"/>
      <c r="AF109" s="922"/>
      <c r="AG109" s="922"/>
      <c r="AH109" s="922"/>
      <c r="AI109" s="922"/>
      <c r="AJ109" s="922"/>
      <c r="AK109" s="922"/>
      <c r="AL109" s="922"/>
      <c r="AM109" s="922"/>
      <c r="AN109" s="922"/>
      <c r="AO109" s="922"/>
      <c r="AP109" s="922"/>
      <c r="AQ109" s="922"/>
      <c r="AR109" s="922"/>
      <c r="AS109" s="922"/>
      <c r="AT109" s="922"/>
      <c r="AU109" s="922"/>
      <c r="AV109" s="922"/>
      <c r="AW109" s="922"/>
      <c r="AX109" s="922"/>
      <c r="AY109" s="922"/>
      <c r="AZ109" s="922"/>
      <c r="BA109" s="922"/>
      <c r="BB109" s="922"/>
      <c r="BC109" s="922"/>
      <c r="BD109" s="922"/>
      <c r="BE109" s="922"/>
      <c r="BF109" s="922"/>
      <c r="BG109" s="922"/>
      <c r="BH109" s="922"/>
      <c r="BI109" s="922"/>
      <c r="BJ109" s="922"/>
      <c r="BK109" s="922"/>
      <c r="BL109" s="922"/>
      <c r="BM109" s="922"/>
      <c r="BN109" s="922"/>
      <c r="BO109" s="922"/>
      <c r="BP109" s="922"/>
      <c r="BQ109" s="922"/>
      <c r="BR109" s="922"/>
      <c r="BS109" s="922"/>
      <c r="BT109" s="922"/>
      <c r="BU109" s="922"/>
      <c r="BV109" s="922"/>
      <c r="BW109" s="922"/>
      <c r="BX109" s="922"/>
      <c r="BY109" s="922"/>
      <c r="BZ109" s="922"/>
      <c r="CA109" s="922"/>
      <c r="CB109" s="922"/>
      <c r="CC109" s="922"/>
      <c r="CD109" s="922"/>
      <c r="CE109" s="922"/>
      <c r="CF109" s="922"/>
      <c r="CG109" s="922"/>
      <c r="CH109" s="922"/>
      <c r="CI109" s="922"/>
      <c r="CJ109" s="922"/>
      <c r="CK109" s="922"/>
      <c r="CL109" s="922"/>
      <c r="CM109" s="922"/>
      <c r="CN109" s="922"/>
      <c r="CO109" s="922"/>
      <c r="CP109" s="922"/>
      <c r="CQ109" s="922"/>
      <c r="CR109" s="922"/>
      <c r="CS109" s="922"/>
      <c r="CT109" s="922"/>
      <c r="CU109" s="922"/>
      <c r="CV109" s="922"/>
      <c r="CW109" s="922"/>
      <c r="CX109" s="922"/>
      <c r="CY109" s="922"/>
      <c r="CZ109" s="922"/>
      <c r="DA109" s="922"/>
      <c r="DB109" s="922"/>
      <c r="DC109" s="922"/>
      <c r="DD109" s="922"/>
      <c r="DE109" s="922"/>
      <c r="DF109" s="922"/>
      <c r="DG109" s="922"/>
      <c r="DH109" s="922"/>
      <c r="DI109" s="922"/>
      <c r="DJ109" s="922"/>
      <c r="DK109" s="922"/>
      <c r="DL109" s="922"/>
      <c r="DM109" s="922"/>
      <c r="DN109" s="922"/>
      <c r="DO109" s="922"/>
      <c r="DP109" s="922"/>
      <c r="DQ109" s="922"/>
      <c r="DR109" s="922"/>
      <c r="DS109" s="922"/>
      <c r="DT109" s="922"/>
      <c r="DU109" s="922"/>
      <c r="DV109" s="922"/>
      <c r="DW109" s="922"/>
      <c r="DX109" s="922"/>
      <c r="DY109" s="922"/>
      <c r="DZ109" s="922"/>
      <c r="EA109" s="922"/>
      <c r="EB109" s="922"/>
      <c r="EC109" s="922"/>
      <c r="ED109" s="922"/>
      <c r="EE109" s="922"/>
      <c r="EF109" s="922"/>
      <c r="EG109" s="922"/>
      <c r="EH109" s="922"/>
      <c r="EI109" s="922"/>
      <c r="EJ109" s="922"/>
      <c r="EK109" s="922"/>
      <c r="EL109" s="922"/>
      <c r="EM109" s="922"/>
      <c r="EN109" s="922"/>
      <c r="EO109" s="922"/>
      <c r="EP109" s="922"/>
      <c r="EQ109" s="922"/>
      <c r="ER109" s="922"/>
      <c r="ES109" s="922"/>
      <c r="ET109" s="922"/>
      <c r="EU109" s="922"/>
      <c r="EV109" s="922"/>
      <c r="EW109" s="922"/>
    </row>
    <row r="119" spans="1:154">
      <c r="A119" s="291" t="s">
        <v>2588</v>
      </c>
      <c r="EX119" s="1" t="s">
        <v>3325</v>
      </c>
    </row>
    <row r="120" spans="1:154">
      <c r="A120" s="748"/>
      <c r="B120" s="743"/>
      <c r="C120" s="743"/>
      <c r="D120" s="743"/>
      <c r="E120" s="744"/>
      <c r="F120" s="744"/>
      <c r="G120" s="744"/>
      <c r="H120" s="744"/>
      <c r="I120" s="744"/>
      <c r="J120" s="745"/>
      <c r="K120" s="745"/>
      <c r="L120" s="745"/>
      <c r="M120" s="745"/>
      <c r="N120" s="749"/>
      <c r="O120" s="744"/>
      <c r="P120" s="744"/>
      <c r="Q120" s="744"/>
      <c r="R120" s="744"/>
      <c r="S120" s="744"/>
      <c r="T120" s="744"/>
      <c r="U120" s="744"/>
      <c r="V120" s="744"/>
      <c r="W120" s="746"/>
      <c r="X120" s="746"/>
      <c r="Y120" s="746"/>
      <c r="Z120" s="746"/>
      <c r="AA120" s="746"/>
      <c r="AB120" s="746"/>
      <c r="AC120" s="746"/>
      <c r="AD120" s="742"/>
      <c r="AE120" s="747"/>
      <c r="AF120" s="747"/>
      <c r="AG120" s="747"/>
      <c r="AH120" s="747"/>
      <c r="AI120" s="747"/>
      <c r="AJ120" s="747"/>
      <c r="AK120" s="747"/>
      <c r="AL120" s="747"/>
      <c r="AM120" s="747"/>
      <c r="AN120" s="747"/>
      <c r="AO120" s="747"/>
      <c r="AP120" s="747"/>
      <c r="AQ120" s="747"/>
      <c r="AR120" s="747"/>
      <c r="AS120" s="747"/>
      <c r="AT120" s="747"/>
      <c r="AU120" s="747"/>
      <c r="AV120" s="747"/>
      <c r="AW120" s="747"/>
      <c r="AX120" s="747"/>
      <c r="AY120" s="747"/>
      <c r="AZ120" s="747"/>
      <c r="BA120" s="747"/>
      <c r="BB120" s="747"/>
      <c r="BC120" s="747"/>
      <c r="BD120" s="747"/>
      <c r="BE120" s="747"/>
      <c r="BF120" s="747"/>
      <c r="BG120" s="747"/>
      <c r="BH120" s="747"/>
      <c r="BI120" s="747"/>
      <c r="BJ120" s="747"/>
      <c r="BK120" s="747"/>
      <c r="BL120" s="747"/>
      <c r="BM120" s="747"/>
      <c r="BN120" s="747"/>
      <c r="BO120" s="747"/>
      <c r="BP120" s="747"/>
      <c r="BQ120" s="747"/>
      <c r="BR120" s="747"/>
      <c r="BS120" s="747"/>
      <c r="BT120" s="747"/>
      <c r="BU120" s="747"/>
      <c r="BV120" s="747"/>
      <c r="BW120" s="747"/>
      <c r="BX120" s="747"/>
      <c r="BY120" s="747"/>
      <c r="BZ120" s="747"/>
      <c r="CA120" s="747"/>
      <c r="CB120" s="747"/>
      <c r="CC120" s="747"/>
      <c r="CD120" s="747"/>
      <c r="CE120" s="747"/>
      <c r="CF120" s="747"/>
      <c r="CG120" s="747"/>
      <c r="CH120" s="747"/>
      <c r="CI120" s="747"/>
      <c r="CJ120" s="747"/>
      <c r="CK120" s="747"/>
      <c r="CL120" s="747"/>
      <c r="CM120" s="747"/>
      <c r="CN120" s="747"/>
      <c r="CO120" s="747"/>
      <c r="CP120" s="747"/>
      <c r="CQ120" s="747"/>
      <c r="CR120" s="747"/>
      <c r="CS120" s="747"/>
      <c r="CT120" s="747"/>
      <c r="CU120" s="747"/>
      <c r="CV120" s="747"/>
      <c r="CW120" s="747"/>
      <c r="CX120" s="747"/>
      <c r="CY120" s="747"/>
      <c r="CZ120" s="747"/>
      <c r="DA120" s="747"/>
      <c r="DB120" s="747"/>
      <c r="DC120" s="747"/>
      <c r="DD120" s="747"/>
      <c r="DE120" s="747"/>
      <c r="DF120" s="747"/>
      <c r="DG120" s="747"/>
      <c r="DH120" s="747"/>
      <c r="DI120" s="747"/>
      <c r="DJ120" s="747"/>
      <c r="DK120" s="747"/>
      <c r="DL120" s="747"/>
      <c r="DM120" s="747"/>
      <c r="DN120" s="747"/>
      <c r="DO120" s="747"/>
      <c r="DP120" s="747"/>
      <c r="DQ120" s="747"/>
      <c r="DR120" s="747"/>
      <c r="DS120" s="747"/>
      <c r="DT120" s="747"/>
      <c r="DU120" s="747"/>
      <c r="DV120" s="747"/>
      <c r="DW120" s="747"/>
      <c r="DX120" s="747"/>
      <c r="DY120" s="747"/>
      <c r="DZ120" s="747"/>
      <c r="EA120" s="747"/>
      <c r="EB120" s="747"/>
      <c r="EC120" s="747"/>
      <c r="ED120" s="747"/>
      <c r="EE120" s="747"/>
      <c r="EF120" s="747"/>
      <c r="EG120" s="747"/>
      <c r="EH120" s="747"/>
      <c r="EI120" s="747"/>
      <c r="EJ120" s="747"/>
      <c r="EK120" s="747"/>
      <c r="EL120" s="747"/>
      <c r="EM120" s="747"/>
      <c r="EN120" s="747"/>
      <c r="EO120" s="747"/>
      <c r="EP120" s="747"/>
      <c r="EQ120" s="747"/>
      <c r="ER120" s="747"/>
      <c r="ES120" s="747"/>
      <c r="ET120" s="747"/>
      <c r="EU120" s="747"/>
      <c r="EV120" s="747"/>
      <c r="EW120" s="747"/>
      <c r="EX120" s="767">
        <v>6</v>
      </c>
    </row>
    <row r="121" spans="1:154">
      <c r="A121" s="748"/>
      <c r="B121" s="743"/>
      <c r="C121" s="743"/>
      <c r="D121" s="743"/>
      <c r="E121" s="744"/>
      <c r="F121" s="744"/>
      <c r="G121" s="744"/>
      <c r="H121" s="744"/>
      <c r="I121" s="744"/>
      <c r="J121" s="745"/>
      <c r="K121" s="745"/>
      <c r="L121" s="745"/>
      <c r="M121" s="745"/>
      <c r="N121" s="749"/>
      <c r="O121" s="744"/>
      <c r="P121" s="744"/>
      <c r="Q121" s="744"/>
      <c r="R121" s="744"/>
      <c r="S121" s="744"/>
      <c r="T121" s="744"/>
      <c r="U121" s="744"/>
      <c r="V121" s="744"/>
      <c r="W121" s="746"/>
      <c r="X121" s="746"/>
      <c r="Y121" s="746"/>
      <c r="Z121" s="746"/>
      <c r="AA121" s="746"/>
      <c r="AB121" s="746"/>
      <c r="AC121" s="746"/>
      <c r="AD121" s="742"/>
      <c r="AE121" s="747"/>
      <c r="AF121" s="747"/>
      <c r="AG121" s="747"/>
      <c r="AH121" s="747"/>
      <c r="AI121" s="747"/>
      <c r="AJ121" s="747"/>
      <c r="AK121" s="747"/>
      <c r="AL121" s="747"/>
      <c r="AM121" s="747"/>
      <c r="AN121" s="747"/>
      <c r="AO121" s="747"/>
      <c r="AP121" s="747"/>
      <c r="AQ121" s="747"/>
      <c r="AR121" s="747"/>
      <c r="AS121" s="747"/>
      <c r="AT121" s="747"/>
      <c r="AU121" s="747"/>
      <c r="AV121" s="747"/>
      <c r="AW121" s="747"/>
      <c r="AX121" s="747"/>
      <c r="AY121" s="747"/>
      <c r="AZ121" s="747"/>
      <c r="BA121" s="747"/>
      <c r="BB121" s="747"/>
      <c r="BC121" s="747"/>
      <c r="BD121" s="747"/>
      <c r="BE121" s="747"/>
      <c r="BF121" s="747"/>
      <c r="BG121" s="747"/>
      <c r="BH121" s="747"/>
      <c r="BI121" s="747"/>
      <c r="BJ121" s="747"/>
      <c r="BK121" s="747"/>
      <c r="BL121" s="747"/>
      <c r="BM121" s="747"/>
      <c r="BN121" s="747"/>
      <c r="BO121" s="747"/>
      <c r="BP121" s="747"/>
      <c r="BQ121" s="747"/>
      <c r="BR121" s="747"/>
      <c r="BS121" s="747"/>
      <c r="BT121" s="747"/>
      <c r="BU121" s="747"/>
      <c r="BV121" s="747"/>
      <c r="BW121" s="747"/>
      <c r="BX121" s="747"/>
      <c r="BY121" s="747"/>
      <c r="BZ121" s="747"/>
      <c r="CA121" s="747"/>
      <c r="CB121" s="747"/>
      <c r="CC121" s="747"/>
      <c r="CD121" s="747"/>
      <c r="CE121" s="747"/>
      <c r="CF121" s="747"/>
      <c r="CG121" s="747"/>
      <c r="CH121" s="747"/>
      <c r="CI121" s="747"/>
      <c r="CJ121" s="747"/>
      <c r="CK121" s="747"/>
      <c r="CL121" s="747"/>
      <c r="CM121" s="747"/>
      <c r="CN121" s="747"/>
      <c r="CO121" s="747"/>
      <c r="CP121" s="747"/>
      <c r="CQ121" s="747"/>
      <c r="CR121" s="747"/>
      <c r="CS121" s="747"/>
      <c r="CT121" s="747"/>
      <c r="CU121" s="747"/>
      <c r="CV121" s="747"/>
      <c r="CW121" s="747"/>
      <c r="CX121" s="747"/>
      <c r="CY121" s="747"/>
      <c r="CZ121" s="747"/>
      <c r="DA121" s="747"/>
      <c r="DB121" s="747"/>
      <c r="DC121" s="747"/>
      <c r="DD121" s="747"/>
      <c r="DE121" s="747"/>
      <c r="DF121" s="747"/>
      <c r="DG121" s="747"/>
      <c r="DH121" s="747"/>
      <c r="DI121" s="747"/>
      <c r="DJ121" s="747"/>
      <c r="DK121" s="747"/>
      <c r="DL121" s="747"/>
      <c r="DM121" s="747"/>
      <c r="DN121" s="747"/>
      <c r="DO121" s="747"/>
      <c r="DP121" s="747"/>
      <c r="DQ121" s="747"/>
      <c r="DR121" s="747"/>
      <c r="DS121" s="747"/>
      <c r="DT121" s="747"/>
      <c r="DU121" s="747"/>
      <c r="DV121" s="747"/>
      <c r="DW121" s="747"/>
      <c r="DX121" s="747"/>
      <c r="DY121" s="747"/>
      <c r="DZ121" s="747"/>
      <c r="EA121" s="747"/>
      <c r="EB121" s="747"/>
      <c r="EC121" s="747"/>
      <c r="ED121" s="747"/>
      <c r="EE121" s="747"/>
      <c r="EF121" s="747"/>
      <c r="EG121" s="747"/>
      <c r="EH121" s="747"/>
      <c r="EI121" s="747"/>
      <c r="EJ121" s="747"/>
      <c r="EK121" s="747"/>
      <c r="EL121" s="747"/>
      <c r="EM121" s="747"/>
      <c r="EN121" s="747"/>
      <c r="EO121" s="747"/>
      <c r="EP121" s="747"/>
      <c r="EQ121" s="747"/>
      <c r="ER121" s="747"/>
      <c r="ES121" s="747"/>
      <c r="ET121" s="747"/>
      <c r="EU121" s="747"/>
      <c r="EV121" s="747"/>
      <c r="EW121" s="747"/>
      <c r="EX121" s="767">
        <v>6</v>
      </c>
    </row>
  </sheetData>
  <mergeCells count="11">
    <mergeCell ref="DN8:DY8"/>
    <mergeCell ref="DZ8:EK8"/>
    <mergeCell ref="EL8:EW8"/>
    <mergeCell ref="BR8:CC8"/>
    <mergeCell ref="CD8:CO8"/>
    <mergeCell ref="CP8:DA8"/>
    <mergeCell ref="W7:AC7"/>
    <mergeCell ref="AH8:AS8"/>
    <mergeCell ref="AT8:BE8"/>
    <mergeCell ref="BF8:BQ8"/>
    <mergeCell ref="DB8:DM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J26"/>
  <sheetViews>
    <sheetView showGridLines="0" showRowColHeaders="0" workbookViewId="0">
      <selection activeCell="C5" sqref="C5"/>
    </sheetView>
  </sheetViews>
  <sheetFormatPr baseColWidth="10" defaultColWidth="9.33203125"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07" t="s">
        <v>3979</v>
      </c>
    </row>
    <row r="2" spans="1:10" ht="13.5" thickBot="1"/>
    <row r="3" spans="1:10" ht="15.75" thickBot="1">
      <c r="B3" s="808" t="s">
        <v>3980</v>
      </c>
      <c r="C3" s="460"/>
      <c r="D3" s="460"/>
      <c r="E3" s="460"/>
      <c r="F3" s="461"/>
      <c r="G3" s="460"/>
      <c r="H3" s="460"/>
      <c r="I3" s="460"/>
      <c r="J3" s="461"/>
    </row>
    <row r="4" spans="1:10" ht="18" thickBot="1">
      <c r="B4" s="462"/>
      <c r="C4" s="463"/>
      <c r="D4" s="464" t="s">
        <v>3982</v>
      </c>
      <c r="E4" s="465"/>
      <c r="F4" s="466"/>
      <c r="G4" s="467"/>
      <c r="H4" s="464" t="s">
        <v>3983</v>
      </c>
      <c r="I4" s="465"/>
      <c r="J4" s="466"/>
    </row>
    <row r="5" spans="1:10">
      <c r="B5" s="468" t="s">
        <v>1200</v>
      </c>
      <c r="C5" s="469"/>
      <c r="D5" s="470" t="s">
        <v>1201</v>
      </c>
      <c r="E5" s="471">
        <f>C5</f>
        <v>0</v>
      </c>
      <c r="F5" s="472" t="s">
        <v>1201</v>
      </c>
      <c r="G5" s="473"/>
      <c r="H5" s="470" t="s">
        <v>3212</v>
      </c>
      <c r="I5" s="471">
        <f>G5</f>
        <v>0</v>
      </c>
      <c r="J5" s="472" t="s">
        <v>3212</v>
      </c>
    </row>
    <row r="6" spans="1:10">
      <c r="B6" s="468" t="s">
        <v>1202</v>
      </c>
      <c r="C6" s="469"/>
      <c r="D6" s="470" t="s">
        <v>1203</v>
      </c>
      <c r="E6" s="474">
        <f>C6/100</f>
        <v>0</v>
      </c>
      <c r="F6" s="472" t="s">
        <v>1204</v>
      </c>
      <c r="G6" s="473"/>
      <c r="H6" s="470" t="s">
        <v>2708</v>
      </c>
      <c r="I6" s="474">
        <f>G6*100</f>
        <v>0</v>
      </c>
      <c r="J6" s="472" t="s">
        <v>1199</v>
      </c>
    </row>
    <row r="7" spans="1:10">
      <c r="B7" s="468" t="s">
        <v>1205</v>
      </c>
      <c r="C7" s="469"/>
      <c r="D7" s="470" t="s">
        <v>1203</v>
      </c>
      <c r="E7" s="474">
        <f>C7/100</f>
        <v>0</v>
      </c>
      <c r="F7" s="472" t="s">
        <v>1204</v>
      </c>
      <c r="G7" s="473"/>
      <c r="H7" s="470" t="s">
        <v>2708</v>
      </c>
      <c r="I7" s="474">
        <f>G7*100</f>
        <v>0</v>
      </c>
      <c r="J7" s="472" t="s">
        <v>1199</v>
      </c>
    </row>
    <row r="8" spans="1:10">
      <c r="B8" s="468" t="s">
        <v>1206</v>
      </c>
      <c r="C8" s="469"/>
      <c r="D8" s="470" t="s">
        <v>1203</v>
      </c>
      <c r="E8" s="474">
        <f>C8/100</f>
        <v>0</v>
      </c>
      <c r="F8" s="472" t="s">
        <v>1204</v>
      </c>
      <c r="G8" s="473"/>
      <c r="H8" s="470" t="s">
        <v>2708</v>
      </c>
      <c r="I8" s="474">
        <f>G8*100</f>
        <v>0</v>
      </c>
      <c r="J8" s="472" t="s">
        <v>1199</v>
      </c>
    </row>
    <row r="9" spans="1:10">
      <c r="B9" s="468" t="s">
        <v>3062</v>
      </c>
      <c r="C9" s="469"/>
      <c r="D9" s="470" t="s">
        <v>3019</v>
      </c>
      <c r="E9" s="474">
        <f>C9*0.098</f>
        <v>0</v>
      </c>
      <c r="F9" s="472" t="s">
        <v>3020</v>
      </c>
      <c r="G9" s="473"/>
      <c r="H9" s="470" t="s">
        <v>3020</v>
      </c>
      <c r="I9" s="474">
        <f>G9/0.098</f>
        <v>0</v>
      </c>
      <c r="J9" s="472" t="s">
        <v>3019</v>
      </c>
    </row>
    <row r="10" spans="1:10">
      <c r="B10" s="468" t="s">
        <v>3063</v>
      </c>
      <c r="C10" s="469"/>
      <c r="D10" s="470" t="s">
        <v>3019</v>
      </c>
      <c r="E10" s="474">
        <f>C10*0.098</f>
        <v>0</v>
      </c>
      <c r="F10" s="472" t="s">
        <v>3020</v>
      </c>
      <c r="G10" s="473"/>
      <c r="H10" s="470" t="s">
        <v>3020</v>
      </c>
      <c r="I10" s="474">
        <f>G10/0.098</f>
        <v>0</v>
      </c>
      <c r="J10" s="472" t="s">
        <v>3021</v>
      </c>
    </row>
    <row r="11" spans="1:10" ht="13.5" thickBot="1">
      <c r="B11" s="475" t="s">
        <v>3064</v>
      </c>
      <c r="C11" s="476"/>
      <c r="D11" s="477" t="s">
        <v>3019</v>
      </c>
      <c r="E11" s="478">
        <f>C11*0.098</f>
        <v>0</v>
      </c>
      <c r="F11" s="479" t="s">
        <v>3020</v>
      </c>
      <c r="G11" s="480"/>
      <c r="H11" s="477" t="s">
        <v>3020</v>
      </c>
      <c r="I11" s="478">
        <f>G11/0.098</f>
        <v>0</v>
      </c>
      <c r="J11" s="479" t="s">
        <v>3019</v>
      </c>
    </row>
    <row r="12" spans="1:10">
      <c r="J12" s="481"/>
    </row>
    <row r="13" spans="1:10">
      <c r="J13" s="481"/>
    </row>
    <row r="14" spans="1:10" s="481" customFormat="1" ht="13.5" thickBot="1">
      <c r="A14" s="1"/>
      <c r="B14" s="1"/>
      <c r="C14" s="1"/>
      <c r="D14" s="1"/>
      <c r="E14" s="1"/>
      <c r="F14" s="1"/>
      <c r="G14" s="1"/>
      <c r="H14" s="1"/>
      <c r="I14" s="1"/>
    </row>
    <row r="15" spans="1:10" s="481" customFormat="1" ht="15.75" thickBot="1">
      <c r="A15" s="1"/>
      <c r="B15" s="808" t="s">
        <v>3981</v>
      </c>
      <c r="C15" s="460"/>
      <c r="D15" s="460"/>
      <c r="E15" s="460"/>
      <c r="F15" s="460"/>
      <c r="G15" s="460"/>
      <c r="H15" s="460"/>
      <c r="I15" s="460"/>
      <c r="J15" s="461"/>
    </row>
    <row r="16" spans="1:10" s="481" customFormat="1" ht="18" thickBot="1">
      <c r="A16" s="1"/>
      <c r="B16" s="462"/>
      <c r="C16" s="463"/>
      <c r="D16" s="464" t="str">
        <f>D4</f>
        <v>FANUC units ⇒ SI units</v>
      </c>
      <c r="E16" s="465"/>
      <c r="F16" s="465"/>
      <c r="G16" s="467"/>
      <c r="H16" s="464" t="str">
        <f>H4</f>
        <v>SI units ⇒ FANUC units</v>
      </c>
      <c r="I16" s="465"/>
      <c r="J16" s="466"/>
    </row>
    <row r="17" spans="1:10" s="481" customFormat="1">
      <c r="A17" s="1"/>
      <c r="B17" s="468" t="s">
        <v>1200</v>
      </c>
      <c r="C17" s="469"/>
      <c r="D17" s="470" t="s">
        <v>1201</v>
      </c>
      <c r="E17" s="471">
        <f>C17</f>
        <v>0</v>
      </c>
      <c r="F17" s="482" t="s">
        <v>1201</v>
      </c>
      <c r="G17" s="473"/>
      <c r="H17" s="483" t="s">
        <v>1201</v>
      </c>
      <c r="I17" s="471">
        <f>G17</f>
        <v>0</v>
      </c>
      <c r="J17" s="472" t="s">
        <v>1201</v>
      </c>
    </row>
    <row r="18" spans="1:10" s="481" customFormat="1">
      <c r="A18" s="1"/>
      <c r="B18" s="468" t="s">
        <v>3013</v>
      </c>
      <c r="C18" s="469"/>
      <c r="D18" s="470" t="s">
        <v>3022</v>
      </c>
      <c r="E18" s="474">
        <f>C18*9.8</f>
        <v>0</v>
      </c>
      <c r="F18" s="482" t="s">
        <v>3023</v>
      </c>
      <c r="G18" s="473"/>
      <c r="H18" s="484" t="s">
        <v>3023</v>
      </c>
      <c r="I18" s="474">
        <f>G18/9.8</f>
        <v>0</v>
      </c>
      <c r="J18" s="472" t="s">
        <v>3024</v>
      </c>
    </row>
    <row r="19" spans="1:10" s="481" customFormat="1">
      <c r="A19" s="1"/>
      <c r="B19" s="468" t="s">
        <v>3014</v>
      </c>
      <c r="C19" s="469"/>
      <c r="D19" s="470" t="s">
        <v>3022</v>
      </c>
      <c r="E19" s="474">
        <f>C19*9.8</f>
        <v>0</v>
      </c>
      <c r="F19" s="482" t="s">
        <v>3023</v>
      </c>
      <c r="G19" s="473"/>
      <c r="H19" s="484" t="s">
        <v>3023</v>
      </c>
      <c r="I19" s="474">
        <f>G19/9.8</f>
        <v>0</v>
      </c>
      <c r="J19" s="472" t="s">
        <v>3024</v>
      </c>
    </row>
    <row r="20" spans="1:10" s="481" customFormat="1">
      <c r="A20" s="1"/>
      <c r="B20" s="468" t="s">
        <v>3015</v>
      </c>
      <c r="C20" s="469"/>
      <c r="D20" s="470" t="s">
        <v>3022</v>
      </c>
      <c r="E20" s="474">
        <f>C20*9.8</f>
        <v>0</v>
      </c>
      <c r="F20" s="482" t="s">
        <v>3023</v>
      </c>
      <c r="G20" s="473"/>
      <c r="H20" s="484" t="s">
        <v>3023</v>
      </c>
      <c r="I20" s="474">
        <f>G20/9.8</f>
        <v>0</v>
      </c>
      <c r="J20" s="472" t="s">
        <v>3024</v>
      </c>
    </row>
    <row r="21" spans="1:10" s="481" customFormat="1">
      <c r="A21" s="1"/>
      <c r="B21" s="468" t="s">
        <v>3016</v>
      </c>
      <c r="C21" s="469"/>
      <c r="D21" s="470" t="s">
        <v>2946</v>
      </c>
      <c r="E21" s="474">
        <f>C21/10000</f>
        <v>0</v>
      </c>
      <c r="F21" s="482" t="s">
        <v>3020</v>
      </c>
      <c r="G21" s="473"/>
      <c r="H21" s="484" t="s">
        <v>3020</v>
      </c>
      <c r="I21" s="474">
        <f>G21*10000</f>
        <v>0</v>
      </c>
      <c r="J21" s="472" t="s">
        <v>600</v>
      </c>
    </row>
    <row r="22" spans="1:10" s="481" customFormat="1">
      <c r="A22" s="1"/>
      <c r="B22" s="468" t="s">
        <v>3017</v>
      </c>
      <c r="C22" s="469"/>
      <c r="D22" s="470" t="s">
        <v>2946</v>
      </c>
      <c r="E22" s="474">
        <f>C22/10000</f>
        <v>0</v>
      </c>
      <c r="F22" s="482" t="s">
        <v>3020</v>
      </c>
      <c r="G22" s="473"/>
      <c r="H22" s="484" t="s">
        <v>3020</v>
      </c>
      <c r="I22" s="474">
        <f>G22*10000</f>
        <v>0</v>
      </c>
      <c r="J22" s="472" t="s">
        <v>2946</v>
      </c>
    </row>
    <row r="23" spans="1:10" s="481" customFormat="1" ht="13.5" thickBot="1">
      <c r="A23" s="1"/>
      <c r="B23" s="475" t="s">
        <v>3018</v>
      </c>
      <c r="C23" s="476"/>
      <c r="D23" s="477" t="s">
        <v>2946</v>
      </c>
      <c r="E23" s="478">
        <f>C23/10000</f>
        <v>0</v>
      </c>
      <c r="F23" s="485" t="s">
        <v>3020</v>
      </c>
      <c r="G23" s="480"/>
      <c r="H23" s="486" t="s">
        <v>3020</v>
      </c>
      <c r="I23" s="478">
        <f>G23*10000</f>
        <v>0</v>
      </c>
      <c r="J23" s="479" t="s">
        <v>2946</v>
      </c>
    </row>
    <row r="24" spans="1:10" s="481" customFormat="1">
      <c r="A24" s="1"/>
      <c r="B24" s="1"/>
      <c r="C24" s="1"/>
      <c r="D24" s="487"/>
      <c r="E24" s="487"/>
      <c r="F24" s="487"/>
      <c r="G24" s="1"/>
      <c r="H24" s="1"/>
      <c r="I24" s="1"/>
    </row>
    <row r="25" spans="1:10">
      <c r="B25" s="1" t="s">
        <v>1000</v>
      </c>
      <c r="C25" s="481"/>
      <c r="D25" s="481"/>
      <c r="E25" s="481"/>
      <c r="F25" s="481"/>
    </row>
    <row r="26" spans="1:10">
      <c r="C26" s="481"/>
      <c r="D26" s="481"/>
      <c r="E26" s="481"/>
      <c r="F26" s="481"/>
    </row>
  </sheetData>
  <sheetProtection password="D4C7"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AB90"/>
  <sheetViews>
    <sheetView workbookViewId="0">
      <selection activeCell="A34" sqref="A34"/>
    </sheetView>
  </sheetViews>
  <sheetFormatPr baseColWidth="10" defaultColWidth="9.33203125" defaultRowHeight="12.75"/>
  <cols>
    <col min="1" max="1" width="5.5" style="7" customWidth="1"/>
    <col min="2" max="2" width="34.83203125" style="7" customWidth="1"/>
    <col min="3" max="3" width="7.5" style="8" customWidth="1"/>
    <col min="4" max="4" width="5.33203125" style="8" customWidth="1"/>
    <col min="5" max="5" width="7.5" style="8" customWidth="1"/>
    <col min="6" max="6" width="5.33203125" style="8" customWidth="1"/>
    <col min="7" max="7" width="10.83203125" style="8" bestFit="1" customWidth="1"/>
    <col min="8" max="8" width="7" style="8" customWidth="1"/>
    <col min="9" max="9" width="7.1640625" style="8" customWidth="1"/>
    <col min="10" max="10" width="10.83203125" style="8" bestFit="1" customWidth="1"/>
    <col min="11" max="11" width="7.1640625" style="8" customWidth="1"/>
    <col min="12" max="14" width="10.83203125" style="8" bestFit="1" customWidth="1"/>
    <col min="15" max="15" width="11.5" style="8" bestFit="1" customWidth="1"/>
    <col min="16" max="16" width="10.1640625" style="7" bestFit="1" customWidth="1"/>
    <col min="17" max="17" width="8.83203125" style="7" customWidth="1"/>
    <col min="18" max="18" width="16.83203125" style="7" customWidth="1"/>
    <col min="19" max="43" width="8.83203125" style="7" customWidth="1"/>
    <col min="44" max="16384" width="9.33203125" style="7"/>
  </cols>
  <sheetData>
    <row r="1" spans="2:18" ht="20.25">
      <c r="B1" s="96" t="s">
        <v>2558</v>
      </c>
    </row>
    <row r="3" spans="2:18">
      <c r="B3" s="5" t="s">
        <v>2960</v>
      </c>
      <c r="C3" s="212">
        <f>Anal_Robot_Code</f>
        <v>10001</v>
      </c>
    </row>
    <row r="4" spans="2:18">
      <c r="B4" s="5" t="s">
        <v>2961</v>
      </c>
      <c r="C4" s="212" t="str">
        <f>VLOOKUP(Anal_Robot_Code,Robotlist,2,FALSE)</f>
        <v>R-2000iB/210F</v>
      </c>
    </row>
    <row r="5" spans="2:18">
      <c r="B5" s="161" t="s">
        <v>1465</v>
      </c>
      <c r="C5" s="212">
        <f>Anal_Payload_Code</f>
        <v>1</v>
      </c>
      <c r="D5" s="8" t="str">
        <f>'Misc Data'!C11</f>
        <v>CofG - SI</v>
      </c>
      <c r="H5" s="625"/>
      <c r="I5" s="550" t="s">
        <v>3004</v>
      </c>
      <c r="J5" s="550" t="s">
        <v>1626</v>
      </c>
      <c r="K5" s="6"/>
      <c r="L5" s="6"/>
    </row>
    <row r="6" spans="2:18">
      <c r="B6" s="8" t="s">
        <v>2962</v>
      </c>
      <c r="C6" s="7">
        <f>IF((Anal_Payload_Code=1),Anal_Input_1,IF((Anal_Payload_Code=2),Anal_Input_1,0))</f>
        <v>115</v>
      </c>
      <c r="H6" s="625" t="s">
        <v>2962</v>
      </c>
      <c r="I6" s="551">
        <f>IF((Anal_Payload_Code=1),Anal_Input_1,IF((Anal_Payload_Code=2),Anal_Input_1,0))</f>
        <v>115</v>
      </c>
      <c r="J6" s="551">
        <f>IF((Anal_Payload_Code=1),Anal_Input_1,IF((Anal_Payload_Code=2),Anal_Input_1,0))</f>
        <v>115</v>
      </c>
      <c r="K6" s="551">
        <f>IF((Anal_Payload_Code=1),Anal_Input_1,IF((Anal_Payload_Code=2),Anal_Input_1,0))</f>
        <v>115</v>
      </c>
      <c r="L6" s="7"/>
    </row>
    <row r="7" spans="2:18">
      <c r="B7" s="8" t="s">
        <v>2963</v>
      </c>
      <c r="C7" s="626">
        <f t="shared" ref="C7:C12" si="0">IF(Anal_Robot_Code=10105,J7,IF(Anal_Robot_Code=10112,J7,IF(Anal_Robot_Code=10111,K7,I7)))</f>
        <v>-8.9196510000000007E-2</v>
      </c>
      <c r="D7" s="290"/>
      <c r="E7" s="290"/>
      <c r="H7" s="8" t="s">
        <v>2963</v>
      </c>
      <c r="I7" s="551">
        <f>IF((Anal_Payload_Code=1),Anal_Input_2,IF((Anal_Payload_Code=2),Anal_Input_2*0.01,0))</f>
        <v>-8.9196510000000007E-2</v>
      </c>
      <c r="J7" s="552">
        <f>(0.007+L9)*SIN(RADIANS(30))+L7*COS(RADIANS(30))</f>
        <v>1.862605641108725E-2</v>
      </c>
      <c r="K7" s="552">
        <f>(0.01+L9)*SIN(RADIANS(30))+L7*COS(RADIANS(30))</f>
        <v>2.0126056411087251E-2</v>
      </c>
      <c r="L7" s="439">
        <f>IF((Anal_Payload_Code=1),Anal_Input_2,IF((Anal_Payload_Code=2),Anal_Input_2*0.01,0))</f>
        <v>-8.9196510000000007E-2</v>
      </c>
    </row>
    <row r="8" spans="2:18">
      <c r="B8" s="8" t="s">
        <v>2964</v>
      </c>
      <c r="C8" s="626">
        <f t="shared" si="0"/>
        <v>3.7401869999999999E-3</v>
      </c>
      <c r="D8" s="290"/>
      <c r="E8" s="290"/>
      <c r="H8" s="8" t="s">
        <v>2964</v>
      </c>
      <c r="I8" s="551">
        <f>IF((Anal_Payload_Code=1),Anal_Input_3,IF((Anal_Payload_Code=2),Anal_Input_3*0.01,0))</f>
        <v>3.7401869999999999E-3</v>
      </c>
      <c r="J8" s="551">
        <f>IF((Anal_Payload_Code=1),Anal_Input_3,IF((Anal_Payload_Code=2),Anal_Input_3*0.01,0))</f>
        <v>3.7401869999999999E-3</v>
      </c>
      <c r="K8" s="551">
        <f>IF((Anal_Payload_Code=1),Anal_Input_3,IF((Anal_Payload_Code=2),Anal_Input_3*0.01,0))</f>
        <v>3.7401869999999999E-3</v>
      </c>
      <c r="L8" s="7"/>
    </row>
    <row r="9" spans="2:18">
      <c r="B9" s="8" t="s">
        <v>840</v>
      </c>
      <c r="C9" s="626">
        <f t="shared" si="0"/>
        <v>0.18474499999999999</v>
      </c>
      <c r="D9" s="290"/>
      <c r="E9" s="290"/>
      <c r="H9" s="8" t="s">
        <v>840</v>
      </c>
      <c r="I9" s="551">
        <f>IF((Anal_Payload_Code=1),Anal_Input_4,IF((Anal_Payload_Code=2),Anal_Input_4*0.01,0))</f>
        <v>0.18474499999999999</v>
      </c>
      <c r="J9" s="552">
        <f>(0.007+L9)*COS(RADIANS(30))-L7*SIN(RADIANS(30))</f>
        <v>0.21065429604864722</v>
      </c>
      <c r="K9" s="552">
        <f>(0.01+L9)*COS(RADIANS(30))-L7*SIN(RADIANS(30))</f>
        <v>0.21325237226000052</v>
      </c>
      <c r="L9" s="439">
        <f>IF((Anal_Payload_Code=1),Anal_Input_4,IF((Anal_Payload_Code=2),Anal_Input_4*0.01,0))</f>
        <v>0.18474499999999999</v>
      </c>
    </row>
    <row r="10" spans="2:18">
      <c r="B10" s="8" t="s">
        <v>2965</v>
      </c>
      <c r="C10" s="626">
        <f t="shared" si="0"/>
        <v>14.464320000000001</v>
      </c>
      <c r="D10" s="290"/>
      <c r="E10" s="290"/>
      <c r="H10" s="8" t="s">
        <v>2965</v>
      </c>
      <c r="I10" s="551">
        <f>IF((Anal_Payload_Code=1),Anal_Input_5,IF((Anal_Payload_Code=2),Anal_Input_5*0.098,0))</f>
        <v>14.464320000000001</v>
      </c>
      <c r="J10" s="552">
        <f>L10*(COS(RADIANS(30)))^2+L12*(SIN(RADIANS(30)))^2</f>
        <v>12.742208000000002</v>
      </c>
      <c r="K10" s="552">
        <f>L10*(COS(RADIANS(30)))^2+L12*(SIN(RADIANS(30)))^2</f>
        <v>12.742208000000002</v>
      </c>
      <c r="L10" s="439">
        <f>IF((Anal_Payload_Code=1),Anal_Input_5,IF((Anal_Payload_Code=2),Anal_Input_5*0.098,0))</f>
        <v>14.464320000000001</v>
      </c>
    </row>
    <row r="11" spans="2:18">
      <c r="B11" s="8" t="s">
        <v>2362</v>
      </c>
      <c r="C11" s="626">
        <f t="shared" si="0"/>
        <v>11.32363</v>
      </c>
      <c r="D11" s="290"/>
      <c r="E11" s="290"/>
      <c r="H11" s="8" t="s">
        <v>2362</v>
      </c>
      <c r="I11" s="551">
        <f>IF((Anal_Payload_Code=1),Anal_Input_6,IF((Anal_Payload_Code=2),Anal_Input_6*0.098,0))</f>
        <v>11.32363</v>
      </c>
      <c r="J11" s="551">
        <f>IF((Anal_Payload_Code=1),Anal_Input_6,IF((Anal_Payload_Code=2),Anal_Input_6*0.098,0))</f>
        <v>11.32363</v>
      </c>
      <c r="K11" s="551">
        <f>IF((Anal_Payload_Code=1),Anal_Input_6,IF((Anal_Payload_Code=2),Anal_Input_6*0.098,0))</f>
        <v>11.32363</v>
      </c>
      <c r="L11" s="7"/>
    </row>
    <row r="12" spans="2:18">
      <c r="B12" s="8" t="s">
        <v>2363</v>
      </c>
      <c r="C12" s="626">
        <f t="shared" si="0"/>
        <v>7.5758720000000004</v>
      </c>
      <c r="D12" s="290"/>
      <c r="E12" s="290"/>
      <c r="H12" s="8" t="s">
        <v>2363</v>
      </c>
      <c r="I12" s="551">
        <f>IF((Anal_Payload_Code=1),Anal_Input_7,IF((Anal_Payload_Code=2),Anal_Input_7*0.098,0))</f>
        <v>7.5758720000000004</v>
      </c>
      <c r="J12" s="552">
        <f>L12*(COS(RADIANS(30)))^2+L10*(SIN(RADIANS(30)))^2</f>
        <v>9.2979839999999996</v>
      </c>
      <c r="K12" s="552">
        <f>L12*(COS(RADIANS(30)))^2+L10*(SIN(RADIANS(30)))^2</f>
        <v>9.2979839999999996</v>
      </c>
      <c r="L12" s="439">
        <f>IF((Anal_Payload_Code=1),Anal_Input_7,IF((Anal_Payload_Code=2),Anal_Input_7*0.098,0))</f>
        <v>7.5758720000000004</v>
      </c>
    </row>
    <row r="13" spans="2:18">
      <c r="B13" s="8" t="s">
        <v>2364</v>
      </c>
      <c r="C13" s="627">
        <f>IF(Anal_Flange_Code=1,VLOOKUP(Anal_Robot_Code,Table1,13),IF(Anal_Flange_Code=2,VLOOKUP(Anal_Robot_Code,Table1,14)))</f>
        <v>0.23499999999999999</v>
      </c>
    </row>
    <row r="14" spans="2:18">
      <c r="B14" s="8" t="s">
        <v>2959</v>
      </c>
      <c r="C14" s="7">
        <f>VLOOKUP(Anal_Robot_Code,Table1,18,FALSE)</f>
        <v>0</v>
      </c>
    </row>
    <row r="16" spans="2:18" s="625" customFormat="1" ht="15.75">
      <c r="B16" s="628" t="s">
        <v>1859</v>
      </c>
      <c r="R16" s="629"/>
    </row>
    <row r="17" spans="2:27" s="625" customFormat="1" ht="15" thickBot="1">
      <c r="Y17" s="629"/>
    </row>
    <row r="18" spans="2:27" s="625" customFormat="1" ht="15" thickBot="1">
      <c r="B18" s="630" t="s">
        <v>1860</v>
      </c>
      <c r="C18" s="631" t="s">
        <v>1861</v>
      </c>
      <c r="D18" s="632" t="s">
        <v>1862</v>
      </c>
      <c r="E18" s="633">
        <f>C6</f>
        <v>115</v>
      </c>
      <c r="Y18" s="634"/>
    </row>
    <row r="19" spans="2:27" s="625" customFormat="1" ht="15" thickBot="1">
      <c r="B19" s="635"/>
      <c r="C19" s="631" t="s">
        <v>1863</v>
      </c>
      <c r="D19" s="632" t="s">
        <v>1861</v>
      </c>
      <c r="E19" s="633">
        <f t="shared" ref="E19:E24" si="1">C7</f>
        <v>-8.9196510000000007E-2</v>
      </c>
      <c r="Y19" s="634"/>
    </row>
    <row r="20" spans="2:27" s="625" customFormat="1" ht="15" thickBot="1">
      <c r="B20" s="636" t="s">
        <v>3276</v>
      </c>
      <c r="C20" s="631" t="s">
        <v>3277</v>
      </c>
      <c r="D20" s="632" t="s">
        <v>1861</v>
      </c>
      <c r="E20" s="633">
        <f t="shared" si="1"/>
        <v>3.7401869999999999E-3</v>
      </c>
      <c r="Y20" s="634"/>
    </row>
    <row r="21" spans="2:27" s="625" customFormat="1" ht="15" thickBot="1">
      <c r="B21" s="637"/>
      <c r="C21" s="631" t="s">
        <v>3278</v>
      </c>
      <c r="D21" s="632" t="s">
        <v>1861</v>
      </c>
      <c r="E21" s="633">
        <f t="shared" si="1"/>
        <v>0.18474499999999999</v>
      </c>
      <c r="Y21" s="634"/>
    </row>
    <row r="22" spans="2:27" s="625" customFormat="1" ht="15" thickBot="1">
      <c r="B22" s="638"/>
      <c r="C22" s="631" t="s">
        <v>3279</v>
      </c>
      <c r="D22" s="632" t="s">
        <v>3280</v>
      </c>
      <c r="E22" s="633">
        <f t="shared" si="1"/>
        <v>14.464320000000001</v>
      </c>
      <c r="Y22" s="634"/>
      <c r="AA22" s="639"/>
    </row>
    <row r="23" spans="2:27" s="625" customFormat="1" ht="15" thickBot="1">
      <c r="B23" s="636" t="s">
        <v>3281</v>
      </c>
      <c r="C23" s="631" t="s">
        <v>3282</v>
      </c>
      <c r="D23" s="632" t="s">
        <v>3280</v>
      </c>
      <c r="E23" s="633">
        <f t="shared" si="1"/>
        <v>11.32363</v>
      </c>
      <c r="Y23" s="634"/>
    </row>
    <row r="24" spans="2:27" s="625" customFormat="1" ht="15" thickBot="1">
      <c r="B24" s="640"/>
      <c r="C24" s="631" t="s">
        <v>3283</v>
      </c>
      <c r="D24" s="632" t="s">
        <v>3280</v>
      </c>
      <c r="E24" s="633">
        <f t="shared" si="1"/>
        <v>7.5758720000000004</v>
      </c>
      <c r="Y24" s="629"/>
      <c r="AA24" s="629"/>
    </row>
    <row r="25" spans="2:27" s="625" customFormat="1" ht="15" thickBot="1">
      <c r="B25" s="641"/>
      <c r="D25" s="641"/>
      <c r="E25" s="642"/>
      <c r="R25" s="629"/>
      <c r="S25" s="629"/>
      <c r="T25" s="629"/>
      <c r="Y25" s="629"/>
      <c r="AA25" s="629"/>
    </row>
    <row r="26" spans="2:27" s="625" customFormat="1" ht="15" thickBot="1">
      <c r="B26" s="643" t="s">
        <v>3284</v>
      </c>
      <c r="C26" s="631" t="s">
        <v>3285</v>
      </c>
      <c r="D26" s="644" t="s">
        <v>1861</v>
      </c>
      <c r="E26" s="645">
        <f>C13</f>
        <v>0.23499999999999999</v>
      </c>
      <c r="F26" s="646" t="s">
        <v>3286</v>
      </c>
      <c r="R26" s="629"/>
    </row>
    <row r="27" spans="2:27" s="625" customFormat="1" ht="15" thickBot="1">
      <c r="B27" s="630" t="s">
        <v>3287</v>
      </c>
      <c r="C27" s="631" t="s">
        <v>3288</v>
      </c>
      <c r="D27" s="632" t="s">
        <v>3289</v>
      </c>
      <c r="E27" s="633">
        <f>IF(C3=123,0,C14)</f>
        <v>0</v>
      </c>
      <c r="F27" s="646" t="s">
        <v>3290</v>
      </c>
      <c r="R27" s="629"/>
    </row>
    <row r="28" spans="2:27" s="625" customFormat="1" ht="15" thickBot="1">
      <c r="B28" s="643" t="s">
        <v>3291</v>
      </c>
      <c r="C28" s="631" t="s">
        <v>3292</v>
      </c>
      <c r="D28" s="632" t="s">
        <v>3289</v>
      </c>
      <c r="E28" s="633">
        <f>IF(C3=123,C14,0)</f>
        <v>0</v>
      </c>
      <c r="F28" s="647" t="s">
        <v>3293</v>
      </c>
      <c r="R28" s="629"/>
    </row>
    <row r="29" spans="2:27" s="625" customFormat="1" ht="14.25">
      <c r="R29" s="629"/>
    </row>
    <row r="30" spans="2:27" s="625" customFormat="1" ht="15" thickBot="1">
      <c r="B30" s="648"/>
      <c r="C30" s="649" t="s">
        <v>3294</v>
      </c>
      <c r="D30" s="649" t="s">
        <v>3295</v>
      </c>
      <c r="E30" s="631" t="s">
        <v>11</v>
      </c>
      <c r="F30" s="649" t="s">
        <v>12</v>
      </c>
      <c r="H30" s="646" t="s">
        <v>13</v>
      </c>
      <c r="I30" s="646" t="s">
        <v>14</v>
      </c>
      <c r="N30" s="629" t="s">
        <v>15</v>
      </c>
      <c r="R30" s="629"/>
    </row>
    <row r="31" spans="2:27" s="625" customFormat="1" ht="15" thickBot="1">
      <c r="B31" s="650" t="s">
        <v>16</v>
      </c>
      <c r="C31" s="649" t="s">
        <v>17</v>
      </c>
      <c r="D31" s="643" t="s">
        <v>18</v>
      </c>
      <c r="E31" s="651">
        <f>$E$18*9.8*F31</f>
        <v>483.63386234917573</v>
      </c>
      <c r="F31" s="643">
        <f>SQRT((SQRT($E$19^2+$E$20^2)+SQRT(($E$27+$E$28*COS($P$31*PI()/180))^2+$E$28^2*SIN($P$31*PI()/180)^2))^2+($E$21+$E$26)^2)</f>
        <v>0.42913386188924202</v>
      </c>
      <c r="H31" s="646" t="s">
        <v>2365</v>
      </c>
      <c r="I31" s="646" t="s">
        <v>19</v>
      </c>
      <c r="N31" s="652" t="s">
        <v>20</v>
      </c>
      <c r="O31" s="641"/>
      <c r="P31" s="633">
        <v>90</v>
      </c>
    </row>
    <row r="32" spans="2:27" s="625" customFormat="1" ht="14.25">
      <c r="B32" s="650" t="s">
        <v>21</v>
      </c>
      <c r="C32" s="649" t="s">
        <v>1618</v>
      </c>
      <c r="D32" s="643" t="s">
        <v>22</v>
      </c>
      <c r="E32" s="651">
        <f>$E$18*9.8*F32</f>
        <v>483.63386234917573</v>
      </c>
      <c r="F32" s="643">
        <f>SQRT((SQRT($E$19^2+$E$20^2)+$E$28*SIN($P$31*PI()/180))^2+($E$21+$E$26)^2)</f>
        <v>0.42913386188924202</v>
      </c>
      <c r="H32" s="646" t="s">
        <v>2366</v>
      </c>
      <c r="I32" s="646" t="s">
        <v>2162</v>
      </c>
      <c r="N32" s="646" t="s">
        <v>2163</v>
      </c>
    </row>
    <row r="33" spans="1:28" s="625" customFormat="1">
      <c r="B33" s="653"/>
      <c r="C33" s="649" t="s">
        <v>270</v>
      </c>
      <c r="D33" s="643" t="s">
        <v>2164</v>
      </c>
      <c r="E33" s="651">
        <f>$E$18*9.8*F33</f>
        <v>100.61280362082796</v>
      </c>
      <c r="F33" s="643">
        <f>SQRT($E$19^2+$E$20^2)</f>
        <v>8.9274892298871311E-2</v>
      </c>
      <c r="H33" s="646" t="s">
        <v>2367</v>
      </c>
      <c r="I33" s="646" t="s">
        <v>2165</v>
      </c>
      <c r="N33" s="646" t="s">
        <v>2166</v>
      </c>
      <c r="O33" s="642"/>
      <c r="P33" s="642"/>
    </row>
    <row r="34" spans="1:28" s="625" customFormat="1" ht="14.25">
      <c r="K34" s="629"/>
      <c r="N34" s="646" t="s">
        <v>2167</v>
      </c>
    </row>
    <row r="35" spans="1:28" s="625" customFormat="1" ht="14.25">
      <c r="B35" s="648"/>
      <c r="C35" s="649" t="s">
        <v>2168</v>
      </c>
      <c r="D35" s="649" t="s">
        <v>2169</v>
      </c>
      <c r="E35" s="631" t="s">
        <v>2170</v>
      </c>
      <c r="F35" s="649" t="s">
        <v>2171</v>
      </c>
      <c r="G35" s="649" t="s">
        <v>2172</v>
      </c>
      <c r="H35" s="649" t="s">
        <v>2173</v>
      </c>
      <c r="I35" s="649" t="s">
        <v>2174</v>
      </c>
      <c r="J35" s="631" t="s">
        <v>2175</v>
      </c>
      <c r="K35" s="631" t="s">
        <v>2176</v>
      </c>
      <c r="N35" s="646" t="s">
        <v>2177</v>
      </c>
    </row>
    <row r="36" spans="1:28" s="625" customFormat="1" ht="14.25">
      <c r="B36" s="650" t="s">
        <v>2178</v>
      </c>
      <c r="C36" s="649" t="s">
        <v>2179</v>
      </c>
      <c r="D36" s="643" t="s">
        <v>2180</v>
      </c>
      <c r="E36" s="651">
        <f>MAX(H36:I36)</f>
        <v>35.41587809019633</v>
      </c>
      <c r="F36" s="643">
        <f>$E$18*$F31^2+MAX($E$22:$E$24)</f>
        <v>35.64224521329713</v>
      </c>
      <c r="G36" s="654" t="s">
        <v>2181</v>
      </c>
      <c r="H36" s="655">
        <f>$J$43</f>
        <v>35.41584794124617</v>
      </c>
      <c r="I36" s="655">
        <f>$J$89</f>
        <v>35.41587809019633</v>
      </c>
      <c r="J36" s="643">
        <f>$N$89</f>
        <v>-80.915508159849225</v>
      </c>
      <c r="K36" s="643">
        <f>$B$89</f>
        <v>359.8133868528771</v>
      </c>
    </row>
    <row r="37" spans="1:28" s="625" customFormat="1" ht="14.25">
      <c r="B37" s="650" t="s">
        <v>2182</v>
      </c>
      <c r="C37" s="649" t="s">
        <v>1618</v>
      </c>
      <c r="D37" s="643" t="s">
        <v>2180</v>
      </c>
      <c r="E37" s="651">
        <f>MAX(H37:I37)</f>
        <v>34.727963844522719</v>
      </c>
      <c r="F37" s="643">
        <f>$E$18*$F32^2+MAX($E$22:$E$23)</f>
        <v>35.64224521329713</v>
      </c>
      <c r="G37" s="655">
        <f>IF(E28=0,SQRT((E18*E19^2-E18*E20^2-E22+E23)^2/4+(E18*E19*E20)^2)+(E18*E19^2+E18*E20^2+E22+E23)/2+E18*(E21+E26)^2,"---")</f>
        <v>34.727963844522726</v>
      </c>
      <c r="H37" s="655">
        <f>$K$44</f>
        <v>34.727303212736416</v>
      </c>
      <c r="I37" s="655">
        <f>$K$90</f>
        <v>34.727963844522719</v>
      </c>
      <c r="J37" s="654" t="s">
        <v>2181</v>
      </c>
      <c r="K37" s="654">
        <f>$B$90</f>
        <v>89.013493023876151</v>
      </c>
    </row>
    <row r="38" spans="1:28" s="625" customFormat="1">
      <c r="B38" s="653"/>
      <c r="C38" s="649" t="s">
        <v>270</v>
      </c>
      <c r="D38" s="643" t="s">
        <v>2180</v>
      </c>
      <c r="E38" s="651">
        <f>G38</f>
        <v>8.4924227354221333</v>
      </c>
      <c r="F38" s="643">
        <f>$E$18*$F33^2+$E$24</f>
        <v>8.4924227354221333</v>
      </c>
      <c r="G38" s="655">
        <f>$E$18*($E$19^2+$E$20^2)+$E$24</f>
        <v>8.4924227354221333</v>
      </c>
      <c r="H38" s="654" t="s">
        <v>2181</v>
      </c>
      <c r="I38" s="654" t="s">
        <v>2181</v>
      </c>
      <c r="J38" s="654" t="s">
        <v>2181</v>
      </c>
      <c r="K38" s="654" t="s">
        <v>2181</v>
      </c>
    </row>
    <row r="39" spans="1:28" s="625" customFormat="1" ht="14.25">
      <c r="B39" s="646" t="s">
        <v>805</v>
      </c>
      <c r="J39" s="656" t="s">
        <v>806</v>
      </c>
      <c r="K39" s="656" t="s">
        <v>807</v>
      </c>
      <c r="O39" s="634"/>
      <c r="R39" s="629"/>
    </row>
    <row r="40" spans="1:28" s="625" customFormat="1" ht="14.25">
      <c r="B40" s="646" t="s">
        <v>2826</v>
      </c>
      <c r="O40" s="634"/>
    </row>
    <row r="41" spans="1:28" s="625" customFormat="1">
      <c r="B41" s="646" t="s">
        <v>2827</v>
      </c>
    </row>
    <row r="42" spans="1:28" s="625" customFormat="1">
      <c r="B42" s="657" t="s">
        <v>2903</v>
      </c>
    </row>
    <row r="43" spans="1:28" s="625" customFormat="1" ht="14.25">
      <c r="I43" s="658" t="s">
        <v>2904</v>
      </c>
      <c r="J43" s="643">
        <f>MAX(J73:J85)</f>
        <v>35.41584794124617</v>
      </c>
    </row>
    <row r="44" spans="1:28" s="625" customFormat="1" ht="14.25">
      <c r="B44" s="629" t="s">
        <v>2905</v>
      </c>
      <c r="I44" s="658" t="s">
        <v>2906</v>
      </c>
      <c r="J44" s="643">
        <f>MAX(J46:J70)</f>
        <v>35.41584794124617</v>
      </c>
      <c r="K44" s="643">
        <f>MAX(K46:K70)</f>
        <v>34.727303212736416</v>
      </c>
      <c r="L44" s="659">
        <f>MAX(L46:L70)</f>
        <v>34.727303212736416</v>
      </c>
      <c r="M44" s="660"/>
      <c r="N44" s="629" t="s">
        <v>2907</v>
      </c>
    </row>
    <row r="45" spans="1:28" s="625" customFormat="1" ht="14.25">
      <c r="A45" s="661"/>
      <c r="B45" s="631" t="s">
        <v>2908</v>
      </c>
      <c r="C45" s="631" t="s">
        <v>1303</v>
      </c>
      <c r="D45" s="631" t="s">
        <v>1304</v>
      </c>
      <c r="E45" s="631" t="s">
        <v>1305</v>
      </c>
      <c r="F45" s="631" t="s">
        <v>1306</v>
      </c>
      <c r="G45" s="649" t="s">
        <v>1307</v>
      </c>
      <c r="H45" s="649" t="s">
        <v>1308</v>
      </c>
      <c r="I45" s="649" t="s">
        <v>1309</v>
      </c>
      <c r="J45" s="631" t="s">
        <v>1310</v>
      </c>
      <c r="K45" s="631" t="s">
        <v>1311</v>
      </c>
      <c r="L45" s="662" t="s">
        <v>1312</v>
      </c>
      <c r="M45" s="663"/>
      <c r="N45" s="664" t="s">
        <v>1313</v>
      </c>
      <c r="O45" s="664" t="s">
        <v>1314</v>
      </c>
      <c r="P45" s="649" t="s">
        <v>1315</v>
      </c>
      <c r="Q45" s="649" t="s">
        <v>1316</v>
      </c>
      <c r="R45" s="665"/>
      <c r="T45" s="666" t="s">
        <v>1317</v>
      </c>
      <c r="U45" s="667" t="s">
        <v>1318</v>
      </c>
      <c r="V45" s="668"/>
      <c r="W45" s="668"/>
      <c r="X45" s="668"/>
      <c r="Y45" s="668"/>
      <c r="Z45" s="668"/>
      <c r="AA45" s="668"/>
      <c r="AB45" s="669" t="s">
        <v>1319</v>
      </c>
    </row>
    <row r="46" spans="1:28" s="625" customFormat="1" ht="14.25">
      <c r="A46" s="643">
        <v>0</v>
      </c>
      <c r="B46" s="643">
        <v>0</v>
      </c>
      <c r="C46" s="643">
        <f t="shared" ref="C46:C70" si="2">$E$19*COS(B46*PI()/180)-$E$20*SIN(B46*PI()/180)</f>
        <v>-8.9196510000000007E-2</v>
      </c>
      <c r="D46" s="643">
        <f t="shared" ref="D46:D70" si="3">$E$19*SIN(B46*PI()/180)+$E$20*COS(B46*PI()/180)</f>
        <v>3.7401869999999999E-3</v>
      </c>
      <c r="E46" s="643">
        <f t="shared" ref="E46:E70" si="4">$E$22*COS(B46*PI()/180)^2+$E$23*SIN(B46*PI()/180)^2</f>
        <v>14.464320000000001</v>
      </c>
      <c r="F46" s="643">
        <f t="shared" ref="F46:F70" si="5">$E$22*SIN(B46*PI()/180)^2+$E$23*COS(B46*PI()/180)^2</f>
        <v>11.32363</v>
      </c>
      <c r="G46" s="643">
        <f t="shared" ref="G46:G70" si="6">($E$18*(C46+$E$28)^2-$E$18*($E$21+$E$26)^2+$E$24-E46)/2</f>
        <v>-13.117440238657144</v>
      </c>
      <c r="H46" s="643">
        <f t="shared" ref="H46:H70" si="7">$E$18*(C46+$E$28)*($E$21+$E$26)</f>
        <v>-4.3055757453442496</v>
      </c>
      <c r="I46" s="643">
        <f t="shared" ref="I46:I70" si="8">$E$18*((C46+$E$28)^2+($E$21+$E$26)^2)/2+$E$18*(D46+$E$27)^2+($E$24+E46)/2</f>
        <v>21.609862974079277</v>
      </c>
      <c r="J46" s="643">
        <f>SQRT(G46^2+H46^2)+I46</f>
        <v>35.41584794124617</v>
      </c>
      <c r="K46" s="643">
        <f t="shared" ref="K46:K70" si="9">$E$18*((C46+$E$28)^2+($E$21+$E$26)^2)+F46</f>
        <v>32.49994647843571</v>
      </c>
      <c r="L46" s="670">
        <f t="shared" ref="L46:L70" si="10">$E$18*((D46+$E$28)^2+($E$21+$E$26)^2)+E46</f>
        <v>34.727303212736416</v>
      </c>
      <c r="M46" s="671"/>
      <c r="N46" s="638">
        <f>O53*180/PI()-INT(O53*180/PI()/360)*360</f>
        <v>89.013493023876151</v>
      </c>
      <c r="O46" s="643">
        <f>INDEX($B46:$B72,MATCH(K44,K46:K70,0))</f>
        <v>90</v>
      </c>
      <c r="P46" s="643">
        <f>($E$18*$E$19^2-$E$18*$E$20^2+$E$23-$E$22)/2</f>
        <v>-1.1136783671503556</v>
      </c>
      <c r="Q46" s="643">
        <f>-$E$18*$E$19*$E$20</f>
        <v>3.8365337121947549E-2</v>
      </c>
      <c r="R46" s="672" t="s">
        <v>1320</v>
      </c>
      <c r="T46" s="673"/>
      <c r="U46" s="674" t="s">
        <v>1321</v>
      </c>
      <c r="V46" s="675"/>
      <c r="W46" s="675"/>
      <c r="X46" s="675"/>
      <c r="Y46" s="675"/>
      <c r="Z46" s="675"/>
      <c r="AA46" s="675"/>
      <c r="AB46" s="676"/>
    </row>
    <row r="47" spans="1:28" s="625" customFormat="1">
      <c r="A47" s="643">
        <f>A46+1</f>
        <v>1</v>
      </c>
      <c r="B47" s="643">
        <f>B46+15</f>
        <v>15</v>
      </c>
      <c r="C47" s="643">
        <f t="shared" si="2"/>
        <v>-8.7125244251696016E-2</v>
      </c>
      <c r="D47" s="643">
        <f t="shared" si="3"/>
        <v>-1.9473012326226814E-2</v>
      </c>
      <c r="E47" s="643">
        <f t="shared" si="4"/>
        <v>14.253933662705876</v>
      </c>
      <c r="F47" s="643">
        <f t="shared" si="5"/>
        <v>11.534016337294126</v>
      </c>
      <c r="G47" s="643">
        <f t="shared" si="6"/>
        <v>-13.033246599600171</v>
      </c>
      <c r="H47" s="643">
        <f t="shared" si="7"/>
        <v>-4.2055943495692363</v>
      </c>
      <c r="I47" s="643">
        <f t="shared" si="8"/>
        <v>21.5256693350223</v>
      </c>
      <c r="J47" s="643">
        <f t="shared" ref="J47:J70" si="11">SQRT(G47^2+H47^2)+I47</f>
        <v>35.220651655533636</v>
      </c>
      <c r="K47" s="643">
        <f t="shared" si="9"/>
        <v>32.668333756549657</v>
      </c>
      <c r="L47" s="670">
        <f t="shared" si="10"/>
        <v>34.558915934622476</v>
      </c>
      <c r="M47" s="671"/>
      <c r="N47" s="677" t="s">
        <v>1322</v>
      </c>
      <c r="O47" s="678" t="s">
        <v>1323</v>
      </c>
      <c r="P47" s="649" t="s">
        <v>1324</v>
      </c>
      <c r="Q47" s="649" t="s">
        <v>1325</v>
      </c>
      <c r="R47" s="649" t="s">
        <v>1326</v>
      </c>
      <c r="T47" s="673"/>
      <c r="U47" s="674" t="s">
        <v>1327</v>
      </c>
      <c r="V47" s="675"/>
      <c r="W47" s="675" t="s">
        <v>1328</v>
      </c>
      <c r="X47" s="675" t="s">
        <v>1329</v>
      </c>
      <c r="Y47" s="675"/>
      <c r="Z47" s="675"/>
      <c r="AA47" s="675"/>
      <c r="AB47" s="676"/>
    </row>
    <row r="48" spans="1:28" s="625" customFormat="1">
      <c r="A48" s="643">
        <f t="shared" ref="A48:A70" si="12">A47+1</f>
        <v>2</v>
      </c>
      <c r="B48" s="643">
        <f t="shared" ref="B48:B70" si="13">B47+15</f>
        <v>30</v>
      </c>
      <c r="C48" s="643">
        <f t="shared" si="2"/>
        <v>-7.9116537088912739E-2</v>
      </c>
      <c r="D48" s="643">
        <f t="shared" si="3"/>
        <v>-4.1359158043095687E-2</v>
      </c>
      <c r="E48" s="643">
        <f t="shared" si="4"/>
        <v>13.679147500000003</v>
      </c>
      <c r="F48" s="643">
        <f t="shared" si="5"/>
        <v>12.108802499999999</v>
      </c>
      <c r="G48" s="643">
        <f t="shared" si="6"/>
        <v>-12.822407968583375</v>
      </c>
      <c r="H48" s="643">
        <f t="shared" si="7"/>
        <v>-3.8190086489443527</v>
      </c>
      <c r="I48" s="643">
        <f t="shared" si="8"/>
        <v>21.314830704005509</v>
      </c>
      <c r="J48" s="643">
        <f t="shared" si="11"/>
        <v>34.693880489902199</v>
      </c>
      <c r="K48" s="643">
        <f t="shared" si="9"/>
        <v>33.09001101858324</v>
      </c>
      <c r="L48" s="670">
        <f t="shared" si="10"/>
        <v>34.137238672588879</v>
      </c>
      <c r="M48" s="671"/>
      <c r="N48" s="643">
        <v>1</v>
      </c>
      <c r="O48" s="643">
        <f>O46*PI()/180</f>
        <v>1.5707963267948966</v>
      </c>
      <c r="P48" s="643">
        <f t="shared" ref="P48:P53" si="14">-2*$P$46*SIN(2*O48)+2*$Q$46*COS(2*O48)+2*$E$18*$E$28*(-$E$19*SIN(O48)-$E$20*COS(O48))</f>
        <v>-7.673067424389482E-2</v>
      </c>
      <c r="Q48" s="643">
        <f t="shared" ref="Q48:Q53" si="15">-4*$P$46*COS(2*O48)-4*$Q$46*SIN(2*O48)+2*$E$18*$E$28*(-$E$19*COS(O48)+$E$20*SIN(O48))</f>
        <v>-4.4547134686014225</v>
      </c>
      <c r="R48" s="643">
        <f t="shared" ref="R48:R53" si="16">IF(Q48=0,O48,O48-P48/Q48)</f>
        <v>1.5535717230611832</v>
      </c>
      <c r="T48" s="673"/>
      <c r="U48" s="674" t="s">
        <v>2383</v>
      </c>
      <c r="V48" s="675"/>
      <c r="W48" s="675"/>
      <c r="X48" s="675"/>
      <c r="Y48" s="675"/>
      <c r="Z48" s="675"/>
      <c r="AA48" s="675"/>
      <c r="AB48" s="676"/>
    </row>
    <row r="49" spans="1:28" s="625" customFormat="1">
      <c r="A49" s="643">
        <f t="shared" si="12"/>
        <v>3</v>
      </c>
      <c r="B49" s="643">
        <f t="shared" si="13"/>
        <v>45</v>
      </c>
      <c r="C49" s="643">
        <f t="shared" si="2"/>
        <v>-6.5716168669779473E-2</v>
      </c>
      <c r="D49" s="643">
        <f t="shared" si="3"/>
        <v>-6.0426745488567926E-2</v>
      </c>
      <c r="E49" s="643">
        <f t="shared" si="4"/>
        <v>12.893975000000001</v>
      </c>
      <c r="F49" s="643">
        <f t="shared" si="5"/>
        <v>12.893974999999999</v>
      </c>
      <c r="G49" s="643">
        <f t="shared" si="6"/>
        <v>-12.541418386520993</v>
      </c>
      <c r="H49" s="643">
        <f t="shared" si="7"/>
        <v>-3.1721638201041071</v>
      </c>
      <c r="I49" s="643">
        <f t="shared" si="8"/>
        <v>21.033841121943126</v>
      </c>
      <c r="J49" s="643">
        <f t="shared" si="11"/>
        <v>33.970216133798047</v>
      </c>
      <c r="K49" s="643">
        <f t="shared" si="9"/>
        <v>33.651990182708012</v>
      </c>
      <c r="L49" s="670">
        <f t="shared" si="10"/>
        <v>33.575259508464114</v>
      </c>
      <c r="M49" s="671"/>
      <c r="N49" s="643">
        <f>N48+1</f>
        <v>2</v>
      </c>
      <c r="O49" s="643">
        <f>R48</f>
        <v>1.5535717230611832</v>
      </c>
      <c r="P49" s="643">
        <f t="shared" si="14"/>
        <v>3.034972002943781E-5</v>
      </c>
      <c r="Q49" s="643">
        <f t="shared" si="15"/>
        <v>-4.4573559953333524</v>
      </c>
      <c r="R49" s="643">
        <f t="shared" si="16"/>
        <v>1.5535785319676427</v>
      </c>
      <c r="T49" s="673"/>
      <c r="U49" s="674" t="s">
        <v>2384</v>
      </c>
      <c r="V49" s="675"/>
      <c r="W49" s="675"/>
      <c r="X49" s="675" t="s">
        <v>2385</v>
      </c>
      <c r="Y49" s="675"/>
      <c r="Z49" s="675"/>
      <c r="AA49" s="675"/>
      <c r="AB49" s="676"/>
    </row>
    <row r="50" spans="1:28" s="625" customFormat="1">
      <c r="A50" s="643">
        <f t="shared" si="12"/>
        <v>4</v>
      </c>
      <c r="B50" s="643">
        <f t="shared" si="13"/>
        <v>60</v>
      </c>
      <c r="C50" s="643">
        <f t="shared" si="2"/>
        <v>-4.783735195690432E-2</v>
      </c>
      <c r="D50" s="643">
        <f t="shared" si="3"/>
        <v>-7.5376350088912719E-2</v>
      </c>
      <c r="E50" s="643">
        <f t="shared" si="4"/>
        <v>12.108802500000001</v>
      </c>
      <c r="F50" s="643">
        <f t="shared" si="5"/>
        <v>13.679147499999999</v>
      </c>
      <c r="G50" s="643">
        <f t="shared" si="6"/>
        <v>-12.265568785008195</v>
      </c>
      <c r="H50" s="643">
        <f t="shared" si="7"/>
        <v>-2.3091412691723425</v>
      </c>
      <c r="I50" s="643">
        <f t="shared" si="8"/>
        <v>20.75799152043033</v>
      </c>
      <c r="J50" s="643">
        <f t="shared" si="11"/>
        <v>33.239029579051987</v>
      </c>
      <c r="K50" s="643">
        <f t="shared" si="9"/>
        <v>34.203689385733597</v>
      </c>
      <c r="L50" s="670">
        <f t="shared" si="10"/>
        <v>33.023560305438529</v>
      </c>
      <c r="M50" s="671"/>
      <c r="N50" s="643">
        <f>N49+1</f>
        <v>3</v>
      </c>
      <c r="O50" s="643">
        <f>R49</f>
        <v>1.5535785319676427</v>
      </c>
      <c r="P50" s="643">
        <f t="shared" si="14"/>
        <v>-1.5404344466674047E-15</v>
      </c>
      <c r="Q50" s="643">
        <f t="shared" si="15"/>
        <v>-4.4573559957466493</v>
      </c>
      <c r="R50" s="643">
        <f t="shared" si="16"/>
        <v>1.5535785319676423</v>
      </c>
      <c r="T50" s="673"/>
      <c r="U50" s="674" t="s">
        <v>2386</v>
      </c>
      <c r="V50" s="675"/>
      <c r="W50" s="675"/>
      <c r="X50" s="675"/>
      <c r="Y50" s="675"/>
      <c r="Z50" s="675" t="s">
        <v>2387</v>
      </c>
      <c r="AA50" s="675"/>
      <c r="AB50" s="676"/>
    </row>
    <row r="51" spans="1:28" s="625" customFormat="1">
      <c r="A51" s="643">
        <f t="shared" si="12"/>
        <v>5</v>
      </c>
      <c r="B51" s="643">
        <f t="shared" si="13"/>
        <v>75</v>
      </c>
      <c r="C51" s="643">
        <f t="shared" si="2"/>
        <v>-2.6698498763128076E-2</v>
      </c>
      <c r="D51" s="643">
        <f t="shared" si="3"/>
        <v>-8.5189180996006281E-2</v>
      </c>
      <c r="E51" s="643">
        <f t="shared" si="4"/>
        <v>11.534016337294126</v>
      </c>
      <c r="F51" s="643">
        <f t="shared" si="5"/>
        <v>14.253933662705876</v>
      </c>
      <c r="G51" s="643">
        <f t="shared" si="6"/>
        <v>-12.068772842002788</v>
      </c>
      <c r="H51" s="643">
        <f t="shared" si="7"/>
        <v>-1.2887545567828573</v>
      </c>
      <c r="I51" s="643">
        <f t="shared" si="8"/>
        <v>20.561195577424918</v>
      </c>
      <c r="J51" s="643">
        <f t="shared" si="11"/>
        <v>32.698582702316855</v>
      </c>
      <c r="K51" s="643">
        <f t="shared" si="9"/>
        <v>34.597281271744421</v>
      </c>
      <c r="L51" s="670">
        <f t="shared" si="10"/>
        <v>32.629968419427712</v>
      </c>
      <c r="M51" s="671"/>
      <c r="N51" s="643">
        <f>N50+1</f>
        <v>4</v>
      </c>
      <c r="O51" s="643">
        <f>R50</f>
        <v>1.5535785319676423</v>
      </c>
      <c r="P51" s="643">
        <f t="shared" si="14"/>
        <v>4.163336342344337E-16</v>
      </c>
      <c r="Q51" s="643">
        <f t="shared" si="15"/>
        <v>-4.4573559957466502</v>
      </c>
      <c r="R51" s="643">
        <f t="shared" si="16"/>
        <v>1.5535785319676423</v>
      </c>
      <c r="T51" s="679"/>
      <c r="U51" s="680" t="s">
        <v>2388</v>
      </c>
      <c r="V51" s="681"/>
      <c r="W51" s="681"/>
      <c r="X51" s="681"/>
      <c r="Y51" s="681"/>
      <c r="Z51" s="681"/>
      <c r="AA51" s="681"/>
      <c r="AB51" s="682"/>
    </row>
    <row r="52" spans="1:28" s="625" customFormat="1">
      <c r="A52" s="643">
        <f t="shared" si="12"/>
        <v>6</v>
      </c>
      <c r="B52" s="643">
        <f t="shared" si="13"/>
        <v>90</v>
      </c>
      <c r="C52" s="643">
        <f t="shared" si="2"/>
        <v>-3.7401870000000055E-3</v>
      </c>
      <c r="D52" s="643">
        <f t="shared" si="3"/>
        <v>-8.9196510000000007E-2</v>
      </c>
      <c r="E52" s="643">
        <f t="shared" si="4"/>
        <v>11.32363</v>
      </c>
      <c r="F52" s="643">
        <f t="shared" si="5"/>
        <v>14.464320000000001</v>
      </c>
      <c r="G52" s="643">
        <f t="shared" si="6"/>
        <v>-12.003761871506789</v>
      </c>
      <c r="H52" s="643">
        <f t="shared" si="7"/>
        <v>-0.18054135111622524</v>
      </c>
      <c r="I52" s="643">
        <f t="shared" si="8"/>
        <v>20.496184606928921</v>
      </c>
      <c r="J52" s="643">
        <f t="shared" si="11"/>
        <v>32.501304108512528</v>
      </c>
      <c r="K52" s="643">
        <f t="shared" si="9"/>
        <v>34.727303212736416</v>
      </c>
      <c r="L52" s="670">
        <f t="shared" si="10"/>
        <v>32.49994647843571</v>
      </c>
      <c r="M52" s="671"/>
      <c r="N52" s="643">
        <f>N51+1</f>
        <v>5</v>
      </c>
      <c r="O52" s="643">
        <f>R51</f>
        <v>1.5535785319676423</v>
      </c>
      <c r="P52" s="643">
        <f t="shared" si="14"/>
        <v>4.163336342344337E-16</v>
      </c>
      <c r="Q52" s="643">
        <f t="shared" si="15"/>
        <v>-4.4573559957466502</v>
      </c>
      <c r="R52" s="643">
        <f t="shared" si="16"/>
        <v>1.5535785319676423</v>
      </c>
      <c r="T52" s="666" t="s">
        <v>2055</v>
      </c>
      <c r="U52" s="667" t="s">
        <v>2056</v>
      </c>
      <c r="V52" s="668"/>
      <c r="W52" s="668"/>
      <c r="X52" s="668"/>
      <c r="Y52" s="668"/>
      <c r="Z52" s="668"/>
      <c r="AA52" s="668"/>
      <c r="AB52" s="669"/>
    </row>
    <row r="53" spans="1:28" s="625" customFormat="1">
      <c r="A53" s="643">
        <f t="shared" si="12"/>
        <v>7</v>
      </c>
      <c r="B53" s="643">
        <f t="shared" si="13"/>
        <v>105</v>
      </c>
      <c r="C53" s="643">
        <f t="shared" si="2"/>
        <v>1.9473012326226825E-2</v>
      </c>
      <c r="D53" s="643">
        <f t="shared" si="3"/>
        <v>-8.7125244251696016E-2</v>
      </c>
      <c r="E53" s="643">
        <f t="shared" si="4"/>
        <v>11.534016337294128</v>
      </c>
      <c r="F53" s="643">
        <f t="shared" si="5"/>
        <v>14.253933662705876</v>
      </c>
      <c r="G53" s="643">
        <f t="shared" si="6"/>
        <v>-12.087955510563763</v>
      </c>
      <c r="H53" s="643">
        <f t="shared" si="7"/>
        <v>0.93997544927028909</v>
      </c>
      <c r="I53" s="643">
        <f t="shared" si="8"/>
        <v>20.580378245985898</v>
      </c>
      <c r="J53" s="643">
        <f t="shared" si="11"/>
        <v>32.704825543516606</v>
      </c>
      <c r="K53" s="643">
        <f t="shared" si="9"/>
        <v>34.558915934622476</v>
      </c>
      <c r="L53" s="670">
        <f t="shared" si="10"/>
        <v>32.668333756549657</v>
      </c>
      <c r="M53" s="671"/>
      <c r="N53" s="643">
        <f>N52+1</f>
        <v>6</v>
      </c>
      <c r="O53" s="643">
        <f>R52</f>
        <v>1.5535785319676423</v>
      </c>
      <c r="P53" s="643">
        <f t="shared" si="14"/>
        <v>4.163336342344337E-16</v>
      </c>
      <c r="Q53" s="643">
        <f t="shared" si="15"/>
        <v>-4.4573559957466502</v>
      </c>
      <c r="R53" s="643">
        <f t="shared" si="16"/>
        <v>1.5535785319676423</v>
      </c>
      <c r="T53" s="673"/>
      <c r="U53" s="674" t="s">
        <v>2057</v>
      </c>
      <c r="V53" s="675"/>
      <c r="W53" s="675"/>
      <c r="X53" s="675" t="s">
        <v>2058</v>
      </c>
      <c r="Y53" s="675"/>
      <c r="Z53" s="675" t="s">
        <v>2059</v>
      </c>
      <c r="AA53" s="675"/>
      <c r="AB53" s="676"/>
    </row>
    <row r="54" spans="1:28" s="625" customFormat="1">
      <c r="A54" s="643">
        <f t="shared" si="12"/>
        <v>8</v>
      </c>
      <c r="B54" s="643">
        <f t="shared" si="13"/>
        <v>120</v>
      </c>
      <c r="C54" s="643">
        <f t="shared" si="2"/>
        <v>4.1359158043095673E-2</v>
      </c>
      <c r="D54" s="643">
        <f t="shared" si="3"/>
        <v>-7.9116537088912739E-2</v>
      </c>
      <c r="E54" s="643">
        <f t="shared" si="4"/>
        <v>12.108802499999998</v>
      </c>
      <c r="F54" s="643">
        <f t="shared" si="5"/>
        <v>13.679147499999999</v>
      </c>
      <c r="G54" s="643">
        <f t="shared" si="6"/>
        <v>-12.298794141580558</v>
      </c>
      <c r="H54" s="643">
        <f t="shared" si="7"/>
        <v>1.9964344761719073</v>
      </c>
      <c r="I54" s="643">
        <f t="shared" si="8"/>
        <v>20.79121687700269</v>
      </c>
      <c r="J54" s="643">
        <f t="shared" si="11"/>
        <v>33.25099568541755</v>
      </c>
      <c r="K54" s="643">
        <f t="shared" si="9"/>
        <v>34.137238672588879</v>
      </c>
      <c r="L54" s="670">
        <f t="shared" si="10"/>
        <v>33.09001101858324</v>
      </c>
      <c r="M54" s="671"/>
      <c r="T54" s="673"/>
      <c r="U54" s="674" t="s">
        <v>2060</v>
      </c>
      <c r="V54" s="675"/>
      <c r="W54" s="675"/>
      <c r="X54" s="675"/>
      <c r="Y54" s="675"/>
      <c r="Z54" s="675"/>
      <c r="AA54" s="675"/>
      <c r="AB54" s="676" t="s">
        <v>2061</v>
      </c>
    </row>
    <row r="55" spans="1:28" s="625" customFormat="1">
      <c r="A55" s="643">
        <f t="shared" si="12"/>
        <v>9</v>
      </c>
      <c r="B55" s="643">
        <f t="shared" si="13"/>
        <v>135</v>
      </c>
      <c r="C55" s="643">
        <f t="shared" si="2"/>
        <v>6.0426745488567926E-2</v>
      </c>
      <c r="D55" s="643">
        <f t="shared" si="3"/>
        <v>-6.5716168669779473E-2</v>
      </c>
      <c r="E55" s="643">
        <f t="shared" si="4"/>
        <v>12.893974999999999</v>
      </c>
      <c r="F55" s="643">
        <f t="shared" si="5"/>
        <v>12.893975000000001</v>
      </c>
      <c r="G55" s="643">
        <f t="shared" si="6"/>
        <v>-12.57978372364294</v>
      </c>
      <c r="H55" s="643">
        <f t="shared" si="7"/>
        <v>2.9168397927863783</v>
      </c>
      <c r="I55" s="643">
        <f t="shared" si="8"/>
        <v>21.072206459065072</v>
      </c>
      <c r="J55" s="643">
        <f t="shared" si="11"/>
        <v>33.985723133868021</v>
      </c>
      <c r="K55" s="643">
        <f t="shared" si="9"/>
        <v>33.575259508464114</v>
      </c>
      <c r="L55" s="670">
        <f t="shared" si="10"/>
        <v>33.651990182708012</v>
      </c>
      <c r="M55" s="671"/>
      <c r="T55" s="673"/>
      <c r="U55" s="674" t="s">
        <v>2062</v>
      </c>
      <c r="V55" s="675"/>
      <c r="W55" s="675"/>
      <c r="X55" s="675"/>
      <c r="Y55" s="675"/>
      <c r="Z55" s="675"/>
      <c r="AA55" s="675"/>
      <c r="AB55" s="676"/>
    </row>
    <row r="56" spans="1:28" s="625" customFormat="1">
      <c r="A56" s="643">
        <f t="shared" si="12"/>
        <v>10</v>
      </c>
      <c r="B56" s="643">
        <f t="shared" si="13"/>
        <v>150</v>
      </c>
      <c r="C56" s="643">
        <f t="shared" si="2"/>
        <v>7.5376350088912733E-2</v>
      </c>
      <c r="D56" s="643">
        <f t="shared" si="3"/>
        <v>-4.7837351956904306E-2</v>
      </c>
      <c r="E56" s="643">
        <f t="shared" si="4"/>
        <v>13.679147500000003</v>
      </c>
      <c r="F56" s="643">
        <f t="shared" si="5"/>
        <v>12.108802499999999</v>
      </c>
      <c r="G56" s="643">
        <f t="shared" si="6"/>
        <v>-12.855633325155736</v>
      </c>
      <c r="H56" s="643">
        <f t="shared" si="7"/>
        <v>3.6384672978281274</v>
      </c>
      <c r="I56" s="643">
        <f t="shared" si="8"/>
        <v>21.348056060577868</v>
      </c>
      <c r="J56" s="643">
        <f>SQRT(G56^2+H56^2)+I56</f>
        <v>34.708660555443338</v>
      </c>
      <c r="K56" s="643">
        <f t="shared" si="9"/>
        <v>33.023560305438522</v>
      </c>
      <c r="L56" s="670">
        <f t="shared" si="10"/>
        <v>34.203689385733604</v>
      </c>
      <c r="M56" s="671"/>
      <c r="T56" s="673"/>
      <c r="U56" s="674" t="s">
        <v>2063</v>
      </c>
      <c r="V56" s="675"/>
      <c r="W56" s="675"/>
      <c r="X56" s="675" t="s">
        <v>2064</v>
      </c>
      <c r="Y56" s="675"/>
      <c r="Z56" s="675" t="s">
        <v>2065</v>
      </c>
      <c r="AA56" s="675"/>
      <c r="AB56" s="683"/>
    </row>
    <row r="57" spans="1:28" s="625" customFormat="1">
      <c r="A57" s="643">
        <f t="shared" si="12"/>
        <v>11</v>
      </c>
      <c r="B57" s="643">
        <f t="shared" si="13"/>
        <v>165</v>
      </c>
      <c r="C57" s="643">
        <f t="shared" si="2"/>
        <v>8.5189180996006267E-2</v>
      </c>
      <c r="D57" s="643">
        <f t="shared" si="3"/>
        <v>-2.66984987631281E-2</v>
      </c>
      <c r="E57" s="643">
        <f t="shared" si="4"/>
        <v>14.253933662705876</v>
      </c>
      <c r="F57" s="643">
        <f t="shared" si="5"/>
        <v>11.534016337294124</v>
      </c>
      <c r="G57" s="643">
        <f t="shared" si="6"/>
        <v>-13.052429268161143</v>
      </c>
      <c r="H57" s="643">
        <f t="shared" si="7"/>
        <v>4.1121392693743948</v>
      </c>
      <c r="I57" s="643">
        <f t="shared" si="8"/>
        <v>21.544852003583276</v>
      </c>
      <c r="J57" s="643">
        <f t="shared" si="11"/>
        <v>35.229719528374325</v>
      </c>
      <c r="K57" s="643">
        <f t="shared" si="9"/>
        <v>32.629968419427705</v>
      </c>
      <c r="L57" s="670">
        <f t="shared" si="10"/>
        <v>34.597281271744421</v>
      </c>
      <c r="M57" s="671"/>
      <c r="T57" s="673"/>
      <c r="U57" s="674" t="s">
        <v>2066</v>
      </c>
      <c r="V57" s="675"/>
      <c r="W57" s="675"/>
      <c r="X57" s="675" t="s">
        <v>2067</v>
      </c>
      <c r="Y57" s="675"/>
      <c r="Z57" s="675" t="s">
        <v>754</v>
      </c>
      <c r="AA57" s="675"/>
      <c r="AB57" s="676"/>
    </row>
    <row r="58" spans="1:28" s="625" customFormat="1">
      <c r="A58" s="643">
        <f t="shared" si="12"/>
        <v>12</v>
      </c>
      <c r="B58" s="643">
        <f t="shared" si="13"/>
        <v>180</v>
      </c>
      <c r="C58" s="643">
        <f t="shared" si="2"/>
        <v>8.9196510000000007E-2</v>
      </c>
      <c r="D58" s="643">
        <f t="shared" si="3"/>
        <v>-3.7401870000000107E-3</v>
      </c>
      <c r="E58" s="643">
        <f t="shared" si="4"/>
        <v>14.464320000000001</v>
      </c>
      <c r="F58" s="643">
        <f t="shared" si="5"/>
        <v>11.32363</v>
      </c>
      <c r="G58" s="643">
        <f t="shared" si="6"/>
        <v>-13.117440238657144</v>
      </c>
      <c r="H58" s="643">
        <f t="shared" si="7"/>
        <v>4.3055757453442496</v>
      </c>
      <c r="I58" s="643">
        <f t="shared" si="8"/>
        <v>21.609862974079277</v>
      </c>
      <c r="J58" s="643">
        <f t="shared" si="11"/>
        <v>35.41584794124617</v>
      </c>
      <c r="K58" s="643">
        <f t="shared" si="9"/>
        <v>32.49994647843571</v>
      </c>
      <c r="L58" s="670">
        <f t="shared" si="10"/>
        <v>34.727303212736416</v>
      </c>
      <c r="M58" s="671"/>
      <c r="T58" s="673"/>
      <c r="U58" s="674" t="s">
        <v>755</v>
      </c>
      <c r="V58" s="675"/>
      <c r="W58" s="675"/>
      <c r="X58" s="675" t="s">
        <v>756</v>
      </c>
      <c r="Y58" s="675"/>
      <c r="Z58" s="675" t="s">
        <v>757</v>
      </c>
      <c r="AA58" s="675"/>
      <c r="AB58" s="676"/>
    </row>
    <row r="59" spans="1:28" s="625" customFormat="1">
      <c r="A59" s="643">
        <f t="shared" si="12"/>
        <v>13</v>
      </c>
      <c r="B59" s="643">
        <f t="shared" si="13"/>
        <v>195</v>
      </c>
      <c r="C59" s="643">
        <f t="shared" si="2"/>
        <v>8.7125244251696016E-2</v>
      </c>
      <c r="D59" s="643">
        <f t="shared" si="3"/>
        <v>1.947301232622678E-2</v>
      </c>
      <c r="E59" s="643">
        <f t="shared" si="4"/>
        <v>14.253933662705876</v>
      </c>
      <c r="F59" s="643">
        <f t="shared" si="5"/>
        <v>11.534016337294126</v>
      </c>
      <c r="G59" s="643">
        <f t="shared" si="6"/>
        <v>-13.033246599600171</v>
      </c>
      <c r="H59" s="643">
        <f t="shared" si="7"/>
        <v>4.2055943495692363</v>
      </c>
      <c r="I59" s="643">
        <f t="shared" si="8"/>
        <v>21.5256693350223</v>
      </c>
      <c r="J59" s="643">
        <f t="shared" si="11"/>
        <v>35.220651655533636</v>
      </c>
      <c r="K59" s="643">
        <f t="shared" si="9"/>
        <v>32.668333756549657</v>
      </c>
      <c r="L59" s="670">
        <f t="shared" si="10"/>
        <v>34.558915934622476</v>
      </c>
      <c r="M59" s="671"/>
      <c r="T59" s="673"/>
      <c r="U59" s="674" t="s">
        <v>2862</v>
      </c>
      <c r="V59" s="675"/>
      <c r="W59" s="675"/>
      <c r="X59" s="675" t="s">
        <v>2863</v>
      </c>
      <c r="Y59" s="675"/>
      <c r="Z59" s="675" t="s">
        <v>2864</v>
      </c>
      <c r="AA59" s="675"/>
      <c r="AB59" s="676"/>
    </row>
    <row r="60" spans="1:28" s="625" customFormat="1">
      <c r="A60" s="643">
        <f t="shared" si="12"/>
        <v>14</v>
      </c>
      <c r="B60" s="643">
        <f t="shared" si="13"/>
        <v>210</v>
      </c>
      <c r="C60" s="643">
        <f t="shared" si="2"/>
        <v>7.9116537088912725E-2</v>
      </c>
      <c r="D60" s="643">
        <f t="shared" si="3"/>
        <v>4.1359158043095701E-2</v>
      </c>
      <c r="E60" s="643">
        <f t="shared" si="4"/>
        <v>13.679147499999999</v>
      </c>
      <c r="F60" s="643">
        <f t="shared" si="5"/>
        <v>12.108802500000001</v>
      </c>
      <c r="G60" s="643">
        <f t="shared" si="6"/>
        <v>-12.822407968583374</v>
      </c>
      <c r="H60" s="643">
        <f t="shared" si="7"/>
        <v>3.8190086489443522</v>
      </c>
      <c r="I60" s="643">
        <f t="shared" si="8"/>
        <v>21.314830704005505</v>
      </c>
      <c r="J60" s="643">
        <f t="shared" si="11"/>
        <v>34.693880489902192</v>
      </c>
      <c r="K60" s="643">
        <f t="shared" si="9"/>
        <v>33.090011018583247</v>
      </c>
      <c r="L60" s="670">
        <f t="shared" si="10"/>
        <v>34.137238672588879</v>
      </c>
      <c r="M60" s="671"/>
      <c r="T60" s="673"/>
      <c r="U60" s="674" t="s">
        <v>2865</v>
      </c>
      <c r="V60" s="675"/>
      <c r="W60" s="675"/>
      <c r="X60" s="675" t="s">
        <v>2866</v>
      </c>
      <c r="Y60" s="675"/>
      <c r="Z60" s="675" t="s">
        <v>2867</v>
      </c>
      <c r="AA60" s="675"/>
      <c r="AB60" s="676"/>
    </row>
    <row r="61" spans="1:28" s="625" customFormat="1" ht="14.25">
      <c r="A61" s="643">
        <f t="shared" si="12"/>
        <v>15</v>
      </c>
      <c r="B61" s="643">
        <f t="shared" si="13"/>
        <v>225</v>
      </c>
      <c r="C61" s="643">
        <f t="shared" si="2"/>
        <v>6.5716168669779487E-2</v>
      </c>
      <c r="D61" s="643">
        <f t="shared" si="3"/>
        <v>6.0426745488567926E-2</v>
      </c>
      <c r="E61" s="643">
        <f t="shared" si="4"/>
        <v>12.893975000000003</v>
      </c>
      <c r="F61" s="643">
        <f t="shared" si="5"/>
        <v>12.893975000000001</v>
      </c>
      <c r="G61" s="643">
        <f t="shared" si="6"/>
        <v>-12.541418386520991</v>
      </c>
      <c r="H61" s="643">
        <f t="shared" si="7"/>
        <v>3.1721638201041076</v>
      </c>
      <c r="I61" s="643">
        <f t="shared" si="8"/>
        <v>21.033841121943126</v>
      </c>
      <c r="J61" s="643">
        <f t="shared" si="11"/>
        <v>33.97021613379804</v>
      </c>
      <c r="K61" s="643">
        <f t="shared" si="9"/>
        <v>33.651990182708012</v>
      </c>
      <c r="L61" s="670">
        <f t="shared" si="10"/>
        <v>33.575259508464121</v>
      </c>
      <c r="M61" s="671"/>
      <c r="N61" s="629" t="s">
        <v>2868</v>
      </c>
      <c r="T61" s="679"/>
      <c r="U61" s="680" t="s">
        <v>2869</v>
      </c>
      <c r="V61" s="681"/>
      <c r="W61" s="681"/>
      <c r="X61" s="681"/>
      <c r="Y61" s="681" t="s">
        <v>2870</v>
      </c>
      <c r="Z61" s="681"/>
      <c r="AA61" s="681"/>
      <c r="AB61" s="684" t="s">
        <v>2871</v>
      </c>
    </row>
    <row r="62" spans="1:28" s="625" customFormat="1" ht="14.25">
      <c r="A62" s="643">
        <f t="shared" si="12"/>
        <v>16</v>
      </c>
      <c r="B62" s="643">
        <f t="shared" si="13"/>
        <v>240</v>
      </c>
      <c r="C62" s="643">
        <f t="shared" si="2"/>
        <v>4.7837351956904355E-2</v>
      </c>
      <c r="D62" s="643">
        <f t="shared" si="3"/>
        <v>7.5376350088912691E-2</v>
      </c>
      <c r="E62" s="643">
        <f t="shared" si="4"/>
        <v>12.108802499999999</v>
      </c>
      <c r="F62" s="643">
        <f t="shared" si="5"/>
        <v>13.679147499999999</v>
      </c>
      <c r="G62" s="643">
        <f t="shared" si="6"/>
        <v>-12.265568785008195</v>
      </c>
      <c r="H62" s="643">
        <f t="shared" si="7"/>
        <v>2.3091412691723439</v>
      </c>
      <c r="I62" s="643">
        <f t="shared" si="8"/>
        <v>20.75799152043033</v>
      </c>
      <c r="J62" s="643">
        <f t="shared" si="11"/>
        <v>33.239029579051987</v>
      </c>
      <c r="K62" s="643">
        <f t="shared" si="9"/>
        <v>34.203689385733597</v>
      </c>
      <c r="L62" s="670">
        <f t="shared" si="10"/>
        <v>33.023560305438522</v>
      </c>
      <c r="M62" s="671"/>
      <c r="N62" s="664" t="s">
        <v>1313</v>
      </c>
      <c r="O62" s="664" t="s">
        <v>1314</v>
      </c>
      <c r="P62" s="685"/>
      <c r="Q62" s="686"/>
      <c r="R62" s="686"/>
      <c r="S62" s="686"/>
      <c r="V62" s="642"/>
      <c r="W62" s="642"/>
      <c r="X62" s="642"/>
      <c r="Z62" s="642"/>
      <c r="AA62" s="642"/>
      <c r="AB62" s="642"/>
    </row>
    <row r="63" spans="1:28" s="625" customFormat="1" ht="14.25">
      <c r="A63" s="643">
        <f t="shared" si="12"/>
        <v>17</v>
      </c>
      <c r="B63" s="643">
        <f t="shared" si="13"/>
        <v>255</v>
      </c>
      <c r="C63" s="643">
        <f t="shared" si="2"/>
        <v>2.6698498763128065E-2</v>
      </c>
      <c r="D63" s="643">
        <f t="shared" si="3"/>
        <v>8.5189180996006281E-2</v>
      </c>
      <c r="E63" s="643">
        <f t="shared" si="4"/>
        <v>11.534016337294126</v>
      </c>
      <c r="F63" s="643">
        <f t="shared" si="5"/>
        <v>14.253933662705874</v>
      </c>
      <c r="G63" s="643">
        <f t="shared" si="6"/>
        <v>-12.068772842002788</v>
      </c>
      <c r="H63" s="643">
        <f t="shared" si="7"/>
        <v>1.2887545567828567</v>
      </c>
      <c r="I63" s="643">
        <f t="shared" si="8"/>
        <v>20.561195577424918</v>
      </c>
      <c r="J63" s="643">
        <f t="shared" si="11"/>
        <v>32.698582702316855</v>
      </c>
      <c r="K63" s="643">
        <f t="shared" si="9"/>
        <v>34.597281271744414</v>
      </c>
      <c r="L63" s="670">
        <f t="shared" si="10"/>
        <v>32.629968419427712</v>
      </c>
      <c r="M63" s="671"/>
      <c r="N63" s="638">
        <f>O70*180/PI()-INT(O70*180/PI()/360)*360</f>
        <v>359.8133868528771</v>
      </c>
      <c r="O63" s="638">
        <f>INDEX($B73:$B85,MATCH($J$43,$J$73:$J$85,0))</f>
        <v>0</v>
      </c>
      <c r="P63" s="653"/>
      <c r="Q63" s="687"/>
      <c r="R63" s="687"/>
      <c r="S63" s="687"/>
      <c r="V63" s="687"/>
      <c r="W63" s="687"/>
      <c r="X63" s="687"/>
      <c r="Y63" s="687"/>
      <c r="Z63" s="687"/>
      <c r="AA63" s="687"/>
      <c r="AB63" s="688"/>
    </row>
    <row r="64" spans="1:28" s="625" customFormat="1">
      <c r="A64" s="643">
        <f t="shared" si="12"/>
        <v>18</v>
      </c>
      <c r="B64" s="643">
        <f t="shared" si="13"/>
        <v>270</v>
      </c>
      <c r="C64" s="643">
        <f t="shared" si="2"/>
        <v>3.7401870000000163E-3</v>
      </c>
      <c r="D64" s="643">
        <f t="shared" si="3"/>
        <v>8.9196510000000007E-2</v>
      </c>
      <c r="E64" s="643">
        <f t="shared" si="4"/>
        <v>11.32363</v>
      </c>
      <c r="F64" s="643">
        <f t="shared" si="5"/>
        <v>14.464320000000001</v>
      </c>
      <c r="G64" s="643">
        <f t="shared" si="6"/>
        <v>-12.003761871506789</v>
      </c>
      <c r="H64" s="643">
        <f t="shared" si="7"/>
        <v>0.1805413511162258</v>
      </c>
      <c r="I64" s="643">
        <f t="shared" si="8"/>
        <v>20.496184606928921</v>
      </c>
      <c r="J64" s="643">
        <f t="shared" si="11"/>
        <v>32.501304108512528</v>
      </c>
      <c r="K64" s="643">
        <f t="shared" si="9"/>
        <v>34.727303212736416</v>
      </c>
      <c r="L64" s="670">
        <f t="shared" si="10"/>
        <v>32.49994647843571</v>
      </c>
      <c r="M64" s="671"/>
      <c r="N64" s="677" t="s">
        <v>2872</v>
      </c>
      <c r="O64" s="678" t="s">
        <v>2873</v>
      </c>
      <c r="P64" s="649" t="s">
        <v>2874</v>
      </c>
      <c r="Q64" s="649" t="s">
        <v>2875</v>
      </c>
      <c r="R64" s="689" t="s">
        <v>2876</v>
      </c>
      <c r="S64" s="649" t="s">
        <v>2877</v>
      </c>
      <c r="T64" s="649" t="s">
        <v>2878</v>
      </c>
      <c r="U64" s="690" t="s">
        <v>2879</v>
      </c>
      <c r="V64" s="690" t="s">
        <v>2880</v>
      </c>
      <c r="W64" s="690" t="s">
        <v>2881</v>
      </c>
      <c r="X64" s="649" t="s">
        <v>2882</v>
      </c>
      <c r="Y64" s="649" t="s">
        <v>2883</v>
      </c>
      <c r="Z64" s="649" t="s">
        <v>2884</v>
      </c>
      <c r="AA64" s="649" t="s">
        <v>2885</v>
      </c>
      <c r="AB64" s="649" t="s">
        <v>2886</v>
      </c>
    </row>
    <row r="65" spans="1:28" s="625" customFormat="1">
      <c r="A65" s="643">
        <f t="shared" si="12"/>
        <v>19</v>
      </c>
      <c r="B65" s="643">
        <f t="shared" si="13"/>
        <v>285</v>
      </c>
      <c r="C65" s="643">
        <f t="shared" si="2"/>
        <v>-1.9473012326226849E-2</v>
      </c>
      <c r="D65" s="643">
        <f t="shared" si="3"/>
        <v>8.7125244251696002E-2</v>
      </c>
      <c r="E65" s="643">
        <f t="shared" si="4"/>
        <v>11.534016337294126</v>
      </c>
      <c r="F65" s="643">
        <f t="shared" si="5"/>
        <v>14.253933662705876</v>
      </c>
      <c r="G65" s="643">
        <f t="shared" si="6"/>
        <v>-12.087955510563763</v>
      </c>
      <c r="H65" s="643">
        <f t="shared" si="7"/>
        <v>-0.9399754492702902</v>
      </c>
      <c r="I65" s="643">
        <f t="shared" si="8"/>
        <v>20.580378245985898</v>
      </c>
      <c r="J65" s="643">
        <f t="shared" si="11"/>
        <v>32.704825543516606</v>
      </c>
      <c r="K65" s="643">
        <f t="shared" si="9"/>
        <v>34.558915934622476</v>
      </c>
      <c r="L65" s="670">
        <f t="shared" si="10"/>
        <v>32.668333756549657</v>
      </c>
      <c r="M65" s="671"/>
      <c r="N65" s="643">
        <v>1</v>
      </c>
      <c r="O65" s="643">
        <f>O63*PI()/180</f>
        <v>0</v>
      </c>
      <c r="P65" s="643">
        <f t="shared" ref="P65:P70" si="17">SIN(O65)</f>
        <v>0</v>
      </c>
      <c r="Q65" s="643">
        <f t="shared" ref="Q65:Q70" si="18">COS(O65)</f>
        <v>1</v>
      </c>
      <c r="R65" s="643">
        <f t="shared" ref="R65:R70" si="19">($E$18*($E$19*Q65-$E$20*P65+$E$28)^2-$E$18*($E$21+$E$26)^2+$E$24-$E$22*Q65^2-$E$23*P65^2)/2</f>
        <v>-13.117440238657144</v>
      </c>
      <c r="S65" s="643">
        <f t="shared" ref="S65:S70" si="20">$E$18*($E$19*Q65-$E$20*P65+$E$28)*(-$E$19*P65-$E$20*Q65)-($E$23-$E$22)*P65*Q65</f>
        <v>3.8365337121947549E-2</v>
      </c>
      <c r="T65" s="643">
        <f t="shared" ref="T65:T70" si="21">$E$18*(-$E$19*P65-$E$20*Q65)^2+$E$18*($E$19*Q65-$E$20*P65+$E$28)*(-$E$19*Q65+$E$20*P65)-($E$23-$E$22)*(Q65^2-P65^2)</f>
        <v>2.2273567343007108</v>
      </c>
      <c r="U65" s="643">
        <f t="shared" ref="U65:U70" si="22">$E$18*($E$19*Q65-$E$20*P65+$E$28)*($E$21+$E$26)</f>
        <v>-4.3055757453442496</v>
      </c>
      <c r="V65" s="643">
        <f t="shared" ref="V65:V70" si="23">$E$18*($E$21+$E$26)*(-$E$19*P65-$E$20*Q65)</f>
        <v>-0.18054135111622499</v>
      </c>
      <c r="W65" s="643">
        <f t="shared" ref="W65:W70" si="24">$E$18*($E$21+$E$26)*(-$E$19*Q65+$E$20*P65)</f>
        <v>4.3055757453442505</v>
      </c>
      <c r="X65" s="643">
        <f t="shared" ref="X65:X70" si="25">S65+2*($E$23-$E$22)*P65*Q65+2*$E$18*($E$19*P65+$E$20*Q65+$E$27)*($E$19*Q65-$E$20*P65)</f>
        <v>-3.8365337121947549E-2</v>
      </c>
      <c r="Y65" s="643">
        <f t="shared" ref="Y65:Y70" si="26">T65+2*($E$23-$E$22)*(Q65^2-P65^2)+2*$E$18*($E$19*Q65-$E$20*P65)^2+2*$E$18*($E$19*P65+$E$20*Q65+$E$27)*(-$E$19*P65-$E$20*Q65)</f>
        <v>-2.2273567343007104</v>
      </c>
      <c r="Z65" s="643">
        <f t="shared" ref="Z65:Z70" si="27">IF(OR(R65,U65),(R65^2+U65^2)^(-0.5)*(R65*S65+U65*V65)+X65,0)</f>
        <v>-1.8513117514550686E-2</v>
      </c>
      <c r="AA65" s="643">
        <f t="shared" ref="AA65:AA70" si="28">IF(OR(R65,U65),(-1)*(R65^2+U65^2)^(-1.5)*(R65*S65+U65*V65)^2+(R65^2+U65^2)^(-0.5)*(S65^2+R65*T65+V65^2+U65*W65)+Y65,0)</f>
        <v>-5.6839394045567726</v>
      </c>
      <c r="AB65" s="643">
        <f t="shared" ref="AB65:AB70" si="29">IF(AA65=0,O65,O65-Z65/AA65)</f>
        <v>-3.2570926952016511E-3</v>
      </c>
    </row>
    <row r="66" spans="1:28" s="625" customFormat="1">
      <c r="A66" s="643">
        <f t="shared" si="12"/>
        <v>20</v>
      </c>
      <c r="B66" s="643">
        <f t="shared" si="13"/>
        <v>300</v>
      </c>
      <c r="C66" s="643">
        <f t="shared" si="2"/>
        <v>-4.1359158043095701E-2</v>
      </c>
      <c r="D66" s="643">
        <f t="shared" si="3"/>
        <v>7.9116537088912725E-2</v>
      </c>
      <c r="E66" s="643">
        <f t="shared" si="4"/>
        <v>12.108802500000001</v>
      </c>
      <c r="F66" s="643">
        <f t="shared" si="5"/>
        <v>13.679147499999999</v>
      </c>
      <c r="G66" s="643">
        <f t="shared" si="6"/>
        <v>-12.298794141580558</v>
      </c>
      <c r="H66" s="643">
        <f t="shared" si="7"/>
        <v>-1.9964344761719084</v>
      </c>
      <c r="I66" s="643">
        <f t="shared" si="8"/>
        <v>20.79121687700269</v>
      </c>
      <c r="J66" s="643">
        <f t="shared" si="11"/>
        <v>33.25099568541755</v>
      </c>
      <c r="K66" s="643">
        <f t="shared" si="9"/>
        <v>34.137238672588879</v>
      </c>
      <c r="L66" s="670">
        <f t="shared" si="10"/>
        <v>33.090011018583247</v>
      </c>
      <c r="M66" s="671"/>
      <c r="N66" s="643">
        <f>N65+1</f>
        <v>2</v>
      </c>
      <c r="O66" s="643">
        <f>AB65</f>
        <v>-3.2570926952016511E-3</v>
      </c>
      <c r="P66" s="643">
        <f t="shared" si="17"/>
        <v>-3.2570869363104352E-3</v>
      </c>
      <c r="Q66" s="643">
        <f t="shared" si="18"/>
        <v>0.9999946956782767</v>
      </c>
      <c r="R66" s="643">
        <f t="shared" si="19"/>
        <v>-13.117553382647289</v>
      </c>
      <c r="S66" s="643">
        <f t="shared" si="20"/>
        <v>3.1109867075181805E-2</v>
      </c>
      <c r="T66" s="643">
        <f t="shared" si="21"/>
        <v>2.227809310261295</v>
      </c>
      <c r="U66" s="643">
        <f t="shared" si="22"/>
        <v>-4.3049648683091091</v>
      </c>
      <c r="V66" s="643">
        <f t="shared" si="23"/>
        <v>-0.19456402798027014</v>
      </c>
      <c r="W66" s="643">
        <f t="shared" si="24"/>
        <v>4.3049648683091091</v>
      </c>
      <c r="X66" s="643">
        <f t="shared" si="25"/>
        <v>-3.1109867075181791E-2</v>
      </c>
      <c r="Y66" s="643">
        <f t="shared" si="26"/>
        <v>-2.2278093102612941</v>
      </c>
      <c r="Z66" s="643">
        <f t="shared" si="27"/>
        <v>4.4819963012157626E-7</v>
      </c>
      <c r="AA66" s="643">
        <f t="shared" si="28"/>
        <v>-5.6841771038563618</v>
      </c>
      <c r="AB66" s="643">
        <f t="shared" si="29"/>
        <v>-3.2570138448030916E-3</v>
      </c>
    </row>
    <row r="67" spans="1:28" s="625" customFormat="1">
      <c r="A67" s="643">
        <f t="shared" si="12"/>
        <v>21</v>
      </c>
      <c r="B67" s="643">
        <f t="shared" si="13"/>
        <v>315</v>
      </c>
      <c r="C67" s="643">
        <f t="shared" si="2"/>
        <v>-6.0426745488567926E-2</v>
      </c>
      <c r="D67" s="643">
        <f t="shared" si="3"/>
        <v>6.5716168669779487E-2</v>
      </c>
      <c r="E67" s="643">
        <f t="shared" si="4"/>
        <v>12.893974999999999</v>
      </c>
      <c r="F67" s="643">
        <f t="shared" si="5"/>
        <v>12.893975000000001</v>
      </c>
      <c r="G67" s="643">
        <f t="shared" si="6"/>
        <v>-12.57978372364294</v>
      </c>
      <c r="H67" s="643">
        <f t="shared" si="7"/>
        <v>-2.9168397927863783</v>
      </c>
      <c r="I67" s="643">
        <f t="shared" si="8"/>
        <v>21.072206459065072</v>
      </c>
      <c r="J67" s="643">
        <f t="shared" si="11"/>
        <v>33.985723133868021</v>
      </c>
      <c r="K67" s="643">
        <f t="shared" si="9"/>
        <v>33.575259508464114</v>
      </c>
      <c r="L67" s="670">
        <f t="shared" si="10"/>
        <v>33.651990182708012</v>
      </c>
      <c r="M67" s="671"/>
      <c r="N67" s="643">
        <f>N66+1</f>
        <v>3</v>
      </c>
      <c r="O67" s="643">
        <f>AB66</f>
        <v>-3.2570138448030916E-3</v>
      </c>
      <c r="P67" s="643">
        <f t="shared" si="17"/>
        <v>-3.2570080863301137E-3</v>
      </c>
      <c r="Q67" s="643">
        <f t="shared" si="18"/>
        <v>0.99999469593509627</v>
      </c>
      <c r="R67" s="643">
        <f t="shared" si="19"/>
        <v>-13.117553380194257</v>
      </c>
      <c r="S67" s="643">
        <f t="shared" si="20"/>
        <v>3.1110042738833429E-2</v>
      </c>
      <c r="T67" s="643">
        <f t="shared" si="21"/>
        <v>2.2278093004491661</v>
      </c>
      <c r="U67" s="643">
        <f t="shared" si="22"/>
        <v>-4.3049648836505456</v>
      </c>
      <c r="V67" s="643">
        <f t="shared" si="23"/>
        <v>-0.19456368853207387</v>
      </c>
      <c r="W67" s="643">
        <f t="shared" si="24"/>
        <v>4.3049648836505456</v>
      </c>
      <c r="X67" s="643">
        <f t="shared" si="25"/>
        <v>-3.1110042738833443E-2</v>
      </c>
      <c r="Y67" s="643">
        <f t="shared" si="26"/>
        <v>-2.2278093004491657</v>
      </c>
      <c r="Z67" s="643">
        <f t="shared" si="27"/>
        <v>1.0408340855860843E-16</v>
      </c>
      <c r="AA67" s="643">
        <f t="shared" si="28"/>
        <v>-5.6841771008265276</v>
      </c>
      <c r="AB67" s="643">
        <f t="shared" si="29"/>
        <v>-3.2570138448030734E-3</v>
      </c>
    </row>
    <row r="68" spans="1:28" s="625" customFormat="1">
      <c r="A68" s="643">
        <f t="shared" si="12"/>
        <v>22</v>
      </c>
      <c r="B68" s="643">
        <f t="shared" si="13"/>
        <v>330</v>
      </c>
      <c r="C68" s="643">
        <f t="shared" si="2"/>
        <v>-7.5376350088912691E-2</v>
      </c>
      <c r="D68" s="643">
        <f t="shared" si="3"/>
        <v>4.7837351956904355E-2</v>
      </c>
      <c r="E68" s="643">
        <f t="shared" si="4"/>
        <v>13.679147499999999</v>
      </c>
      <c r="F68" s="643">
        <f t="shared" si="5"/>
        <v>12.108802499999999</v>
      </c>
      <c r="G68" s="643">
        <f t="shared" si="6"/>
        <v>-12.855633325155734</v>
      </c>
      <c r="H68" s="643">
        <f t="shared" si="7"/>
        <v>-3.6384672978281252</v>
      </c>
      <c r="I68" s="643">
        <f t="shared" si="8"/>
        <v>21.348056060577868</v>
      </c>
      <c r="J68" s="643">
        <f t="shared" si="11"/>
        <v>34.708660555443338</v>
      </c>
      <c r="K68" s="643">
        <f t="shared" si="9"/>
        <v>33.023560305438522</v>
      </c>
      <c r="L68" s="670">
        <f t="shared" si="10"/>
        <v>34.203689385733597</v>
      </c>
      <c r="M68" s="671"/>
      <c r="N68" s="643">
        <f>N67+1</f>
        <v>4</v>
      </c>
      <c r="O68" s="643">
        <f>AB67</f>
        <v>-3.2570138448030734E-3</v>
      </c>
      <c r="P68" s="643">
        <f t="shared" si="17"/>
        <v>-3.2570080863300955E-3</v>
      </c>
      <c r="Q68" s="643">
        <f t="shared" si="18"/>
        <v>0.99999469593509627</v>
      </c>
      <c r="R68" s="643">
        <f t="shared" si="19"/>
        <v>-13.117553380194257</v>
      </c>
      <c r="S68" s="643">
        <f t="shared" si="20"/>
        <v>3.1110042738833471E-2</v>
      </c>
      <c r="T68" s="643">
        <f t="shared" si="21"/>
        <v>2.2278093004491661</v>
      </c>
      <c r="U68" s="643">
        <f t="shared" si="22"/>
        <v>-4.3049648836505456</v>
      </c>
      <c r="V68" s="643">
        <f t="shared" si="23"/>
        <v>-0.19456368853207379</v>
      </c>
      <c r="W68" s="643">
        <f t="shared" si="24"/>
        <v>4.3049648836505456</v>
      </c>
      <c r="X68" s="643">
        <f t="shared" si="25"/>
        <v>-3.1110042738833471E-2</v>
      </c>
      <c r="Y68" s="643">
        <f t="shared" si="26"/>
        <v>-2.2278093004491657</v>
      </c>
      <c r="Z68" s="643">
        <f t="shared" si="27"/>
        <v>3.4694469519536142E-18</v>
      </c>
      <c r="AA68" s="643">
        <f t="shared" si="28"/>
        <v>-5.6841771008265276</v>
      </c>
      <c r="AB68" s="643">
        <f t="shared" si="29"/>
        <v>-3.257013844803073E-3</v>
      </c>
    </row>
    <row r="69" spans="1:28" s="625" customFormat="1">
      <c r="A69" s="643">
        <f t="shared" si="12"/>
        <v>23</v>
      </c>
      <c r="B69" s="643">
        <f t="shared" si="13"/>
        <v>345</v>
      </c>
      <c r="C69" s="643">
        <f t="shared" si="2"/>
        <v>-8.5189180996006281E-2</v>
      </c>
      <c r="D69" s="643">
        <f t="shared" si="3"/>
        <v>2.6698498763128069E-2</v>
      </c>
      <c r="E69" s="643">
        <f t="shared" si="4"/>
        <v>14.253933662705874</v>
      </c>
      <c r="F69" s="643">
        <f t="shared" si="5"/>
        <v>11.534016337294126</v>
      </c>
      <c r="G69" s="643">
        <f t="shared" si="6"/>
        <v>-13.052429268161141</v>
      </c>
      <c r="H69" s="643">
        <f t="shared" si="7"/>
        <v>-4.1121392693743948</v>
      </c>
      <c r="I69" s="643">
        <f t="shared" si="8"/>
        <v>21.544852003583276</v>
      </c>
      <c r="J69" s="643">
        <f t="shared" si="11"/>
        <v>35.229719528374318</v>
      </c>
      <c r="K69" s="643">
        <f t="shared" si="9"/>
        <v>32.629968419427712</v>
      </c>
      <c r="L69" s="670">
        <f t="shared" si="10"/>
        <v>34.597281271744414</v>
      </c>
      <c r="M69" s="671"/>
      <c r="N69" s="643">
        <f>N68+1</f>
        <v>5</v>
      </c>
      <c r="O69" s="643">
        <f>AB68</f>
        <v>-3.257013844803073E-3</v>
      </c>
      <c r="P69" s="643">
        <f t="shared" si="17"/>
        <v>-3.257008086330095E-3</v>
      </c>
      <c r="Q69" s="643">
        <f t="shared" si="18"/>
        <v>0.99999469593509627</v>
      </c>
      <c r="R69" s="643">
        <f t="shared" si="19"/>
        <v>-13.117553380194257</v>
      </c>
      <c r="S69" s="643">
        <f t="shared" si="20"/>
        <v>3.1110042738833471E-2</v>
      </c>
      <c r="T69" s="643">
        <f t="shared" si="21"/>
        <v>2.2278093004491661</v>
      </c>
      <c r="U69" s="643">
        <f t="shared" si="22"/>
        <v>-4.3049648836505456</v>
      </c>
      <c r="V69" s="643">
        <f t="shared" si="23"/>
        <v>-0.19456368853207379</v>
      </c>
      <c r="W69" s="643">
        <f t="shared" si="24"/>
        <v>4.3049648836505456</v>
      </c>
      <c r="X69" s="643">
        <f t="shared" si="25"/>
        <v>-3.1110042738833471E-2</v>
      </c>
      <c r="Y69" s="643">
        <f t="shared" si="26"/>
        <v>-2.2278093004491657</v>
      </c>
      <c r="Z69" s="643">
        <f t="shared" si="27"/>
        <v>3.4694469519536142E-18</v>
      </c>
      <c r="AA69" s="643">
        <f t="shared" si="28"/>
        <v>-5.6841771008265276</v>
      </c>
      <c r="AB69" s="643">
        <f t="shared" si="29"/>
        <v>-3.2570138448030726E-3</v>
      </c>
    </row>
    <row r="70" spans="1:28" s="625" customFormat="1">
      <c r="A70" s="643">
        <f t="shared" si="12"/>
        <v>24</v>
      </c>
      <c r="B70" s="643">
        <f t="shared" si="13"/>
        <v>360</v>
      </c>
      <c r="C70" s="643">
        <f t="shared" si="2"/>
        <v>-8.9196510000000007E-2</v>
      </c>
      <c r="D70" s="643">
        <f t="shared" si="3"/>
        <v>3.7401870000000215E-3</v>
      </c>
      <c r="E70" s="643">
        <f t="shared" si="4"/>
        <v>14.464320000000001</v>
      </c>
      <c r="F70" s="643">
        <f t="shared" si="5"/>
        <v>11.32363</v>
      </c>
      <c r="G70" s="643">
        <f t="shared" si="6"/>
        <v>-13.117440238657144</v>
      </c>
      <c r="H70" s="643">
        <f t="shared" si="7"/>
        <v>-4.3055757453442496</v>
      </c>
      <c r="I70" s="643">
        <f t="shared" si="8"/>
        <v>21.609862974079277</v>
      </c>
      <c r="J70" s="643">
        <f t="shared" si="11"/>
        <v>35.41584794124617</v>
      </c>
      <c r="K70" s="643">
        <f t="shared" si="9"/>
        <v>32.49994647843571</v>
      </c>
      <c r="L70" s="670">
        <f t="shared" si="10"/>
        <v>34.727303212736416</v>
      </c>
      <c r="M70" s="671"/>
      <c r="N70" s="643">
        <f>N69+1</f>
        <v>6</v>
      </c>
      <c r="O70" s="643">
        <f>AB69</f>
        <v>-3.2570138448030726E-3</v>
      </c>
      <c r="P70" s="643">
        <f t="shared" si="17"/>
        <v>-3.2570080863300946E-3</v>
      </c>
      <c r="Q70" s="643">
        <f t="shared" si="18"/>
        <v>0.99999469593509627</v>
      </c>
      <c r="R70" s="643">
        <f t="shared" si="19"/>
        <v>-13.117553380194257</v>
      </c>
      <c r="S70" s="643">
        <f t="shared" si="20"/>
        <v>3.1110042738833475E-2</v>
      </c>
      <c r="T70" s="643">
        <f t="shared" si="21"/>
        <v>2.2278093004491661</v>
      </c>
      <c r="U70" s="643">
        <f t="shared" si="22"/>
        <v>-4.3049648836505456</v>
      </c>
      <c r="V70" s="643">
        <f t="shared" si="23"/>
        <v>-0.19456368853207379</v>
      </c>
      <c r="W70" s="643">
        <f t="shared" si="24"/>
        <v>4.3049648836505456</v>
      </c>
      <c r="X70" s="643">
        <f t="shared" si="25"/>
        <v>-3.1110042738833471E-2</v>
      </c>
      <c r="Y70" s="643">
        <f t="shared" si="26"/>
        <v>-2.2278093004491657</v>
      </c>
      <c r="Z70" s="643">
        <f t="shared" si="27"/>
        <v>0</v>
      </c>
      <c r="AA70" s="643">
        <f t="shared" si="28"/>
        <v>-5.6841771008265276</v>
      </c>
      <c r="AB70" s="643">
        <f t="shared" si="29"/>
        <v>-3.2570138448030726E-3</v>
      </c>
    </row>
    <row r="71" spans="1:28" s="625" customFormat="1" ht="14.25">
      <c r="M71" s="642"/>
      <c r="N71" s="691"/>
      <c r="O71" s="692"/>
      <c r="P71" s="692"/>
      <c r="Q71" s="692"/>
      <c r="R71" s="692"/>
      <c r="S71" s="692"/>
    </row>
    <row r="72" spans="1:28" s="625" customFormat="1" ht="14.25">
      <c r="B72" s="693" t="s">
        <v>1572</v>
      </c>
      <c r="C72" s="642"/>
      <c r="D72" s="642"/>
      <c r="E72" s="642"/>
      <c r="F72" s="642"/>
      <c r="G72" s="642"/>
      <c r="H72" s="642"/>
      <c r="I72" s="642"/>
      <c r="J72" s="631" t="s">
        <v>1573</v>
      </c>
      <c r="K72" s="694" t="s">
        <v>1574</v>
      </c>
      <c r="L72" s="694" t="s">
        <v>1575</v>
      </c>
    </row>
    <row r="73" spans="1:28" s="625" customFormat="1">
      <c r="A73" s="643">
        <v>0</v>
      </c>
      <c r="B73" s="643">
        <f t="shared" ref="B73:B78" si="30">B74-2</f>
        <v>-12</v>
      </c>
      <c r="C73" s="643">
        <f t="shared" ref="C73:C85" si="31">$E$19*COS(B73*PI()/180)-$E$20*SIN(B73*PI()/180)</f>
        <v>-8.6469723647184304E-2</v>
      </c>
      <c r="D73" s="643">
        <f t="shared" ref="D73:D85" si="32">$E$19*SIN(B73*PI()/180)+$E$20*COS(B73*PI()/180)</f>
        <v>2.2203452149488948E-2</v>
      </c>
      <c r="E73" s="643">
        <f t="shared" ref="E73:E85" si="33">$E$22*COS(B73*PI()/180)^2+$E$23*SIN(B73*PI()/180)^2</f>
        <v>14.328556541681774</v>
      </c>
      <c r="F73" s="643">
        <f t="shared" ref="F73:F85" si="34">$E$22*SIN(B73*PI()/180)^2+$E$23*COS(B73*PI()/180)^2</f>
        <v>11.45939345831823</v>
      </c>
      <c r="G73" s="643">
        <f t="shared" ref="G73:G85" si="35">($E$18*(C73+$E$28)^2-$E$18*($E$21+$E$26)^2+$E$24-E73)/2</f>
        <v>-13.077101256090211</v>
      </c>
      <c r="H73" s="643">
        <f t="shared" ref="H73:H85" si="36">$E$18*(C73+$E$28)*($E$21+$E$26)</f>
        <v>-4.1739519275130474</v>
      </c>
      <c r="I73" s="643">
        <f t="shared" ref="I73:I85" si="37">$E$18*((C73+$E$28)^2+($E$21+$E$26)^2)/2+$E$18*(D73+$E$27)^2+($E$24+E73)/2</f>
        <v>21.569523991512341</v>
      </c>
      <c r="J73" s="643">
        <f>SQRT(G73^2+H73^2)+I73</f>
        <v>35.296594034140739</v>
      </c>
      <c r="K73" s="670">
        <f>IF(G73=0,0,IF((PI()/2-ATAN2(H73,G73))/2*180/PI()&gt;90,(PI()/2-ATAN2(H73,G73))/2*180/PI()-180,(PI()/2-ATAN2(H73,G73))/2*180/PI()))</f>
        <v>-81.148972999107301</v>
      </c>
      <c r="L73" s="670">
        <f>IF(G73=0,0,SQRT(G73^2+H73^2)*SIN(2*K73*PI()/180+ATAN2(H73,G73))+I73)</f>
        <v>35.296594034140739</v>
      </c>
    </row>
    <row r="74" spans="1:28" s="625" customFormat="1">
      <c r="A74" s="643">
        <v>1</v>
      </c>
      <c r="B74" s="643">
        <f t="shared" si="30"/>
        <v>-10</v>
      </c>
      <c r="C74" s="643">
        <f t="shared" si="31"/>
        <v>-8.7191937932947411E-2</v>
      </c>
      <c r="D74" s="643">
        <f t="shared" si="32"/>
        <v>1.91721765710656E-2</v>
      </c>
      <c r="E74" s="643">
        <f t="shared" si="33"/>
        <v>14.369616608588046</v>
      </c>
      <c r="F74" s="643">
        <f t="shared" si="34"/>
        <v>11.41833339141195</v>
      </c>
      <c r="G74" s="643">
        <f t="shared" si="35"/>
        <v>-13.090419585902602</v>
      </c>
      <c r="H74" s="643">
        <f t="shared" si="36"/>
        <v>-4.2088136985814755</v>
      </c>
      <c r="I74" s="643">
        <f t="shared" si="37"/>
        <v>21.582842321324733</v>
      </c>
      <c r="J74" s="643">
        <f>SQRT(G74^2+H74^2)+I74</f>
        <v>35.333231322525734</v>
      </c>
      <c r="K74" s="670">
        <f t="shared" ref="K74:K85" si="38">IF(G74=0,0,IF((PI()/2-ATAN2(H74,G74))/2*180/PI()&gt;90,(PI()/2-ATAN2(H74,G74))/2*180/PI()-180,(PI()/2-ATAN2(H74,G74))/2*180/PI()))</f>
        <v>-81.088217354722147</v>
      </c>
      <c r="L74" s="670">
        <f t="shared" ref="L74:L85" si="39">IF(G74=0,0,SQRT(G74^2+H74^2)*SIN(2*K74*PI()/180+ATAN2(H74,G74))+I74)</f>
        <v>35.333231322525734</v>
      </c>
    </row>
    <row r="75" spans="1:28" s="625" customFormat="1">
      <c r="A75" s="643">
        <f>A74+1</f>
        <v>2</v>
      </c>
      <c r="B75" s="643">
        <f t="shared" si="30"/>
        <v>-8</v>
      </c>
      <c r="C75" s="643">
        <f t="shared" si="31"/>
        <v>-8.7807922273227659E-2</v>
      </c>
      <c r="D75" s="643">
        <f t="shared" si="32"/>
        <v>1.6117542648737816E-2</v>
      </c>
      <c r="E75" s="643">
        <f t="shared" si="33"/>
        <v>14.403487497908262</v>
      </c>
      <c r="F75" s="643">
        <f t="shared" si="34"/>
        <v>11.384462502091742</v>
      </c>
      <c r="G75" s="643">
        <f t="shared" si="35"/>
        <v>-13.101156693090012</v>
      </c>
      <c r="H75" s="643">
        <f t="shared" si="36"/>
        <v>-4.238547678476233</v>
      </c>
      <c r="I75" s="643">
        <f t="shared" si="37"/>
        <v>21.593579428512143</v>
      </c>
      <c r="J75" s="643">
        <f t="shared" ref="J75:J84" si="40">SQRT(G75^2+H75^2)+I75</f>
        <v>35.363314107132986</v>
      </c>
      <c r="K75" s="670">
        <f t="shared" si="38"/>
        <v>-81.036162529630019</v>
      </c>
      <c r="L75" s="670">
        <f t="shared" si="39"/>
        <v>35.363314107132986</v>
      </c>
    </row>
    <row r="76" spans="1:28" s="625" customFormat="1">
      <c r="A76" s="643">
        <f t="shared" ref="A76:A84" si="41">A75+1</f>
        <v>3</v>
      </c>
      <c r="B76" s="643">
        <f t="shared" si="30"/>
        <v>-6</v>
      </c>
      <c r="C76" s="643">
        <f t="shared" si="31"/>
        <v>-8.8316926185991504E-2</v>
      </c>
      <c r="D76" s="643">
        <f t="shared" si="32"/>
        <v>1.3043271983409661E-2</v>
      </c>
      <c r="E76" s="643">
        <f t="shared" si="33"/>
        <v>14.430004194074327</v>
      </c>
      <c r="F76" s="643">
        <f t="shared" si="34"/>
        <v>11.35794580592567</v>
      </c>
      <c r="G76" s="643">
        <f t="shared" si="35"/>
        <v>-13.109260267545505</v>
      </c>
      <c r="H76" s="643">
        <f t="shared" si="36"/>
        <v>-4.2631176409229852</v>
      </c>
      <c r="I76" s="643">
        <f t="shared" si="37"/>
        <v>21.601683002967636</v>
      </c>
      <c r="J76" s="643">
        <f t="shared" si="40"/>
        <v>35.386706643955563</v>
      </c>
      <c r="K76" s="670">
        <f t="shared" si="38"/>
        <v>-80.992764563766642</v>
      </c>
      <c r="L76" s="670">
        <f t="shared" si="39"/>
        <v>35.386706643955563</v>
      </c>
    </row>
    <row r="77" spans="1:28" s="625" customFormat="1">
      <c r="A77" s="643">
        <f t="shared" si="41"/>
        <v>4</v>
      </c>
      <c r="B77" s="643">
        <f t="shared" si="30"/>
        <v>-4</v>
      </c>
      <c r="C77" s="643">
        <f t="shared" si="31"/>
        <v>-8.8718329528377299E-2</v>
      </c>
      <c r="D77" s="643">
        <f t="shared" si="32"/>
        <v>9.953110100331751E-3</v>
      </c>
      <c r="E77" s="643">
        <f t="shared" si="33"/>
        <v>14.449037510407981</v>
      </c>
      <c r="F77" s="643">
        <f t="shared" si="34"/>
        <v>11.338912489592017</v>
      </c>
      <c r="G77" s="643">
        <f t="shared" si="35"/>
        <v>-13.114690829468909</v>
      </c>
      <c r="H77" s="643">
        <f t="shared" si="36"/>
        <v>-4.2824936512072034</v>
      </c>
      <c r="I77" s="643">
        <f t="shared" si="37"/>
        <v>21.607113564891041</v>
      </c>
      <c r="J77" s="643">
        <f t="shared" si="40"/>
        <v>35.403303887773149</v>
      </c>
      <c r="K77" s="670">
        <f t="shared" si="38"/>
        <v>-80.957989853076072</v>
      </c>
      <c r="L77" s="670">
        <f t="shared" si="39"/>
        <v>35.403303887773149</v>
      </c>
    </row>
    <row r="78" spans="1:28" s="625" customFormat="1">
      <c r="A78" s="643">
        <f t="shared" si="41"/>
        <v>5</v>
      </c>
      <c r="B78" s="643">
        <f t="shared" si="30"/>
        <v>-2</v>
      </c>
      <c r="C78" s="643">
        <f t="shared" si="31"/>
        <v>-8.9011643252243811E-2</v>
      </c>
      <c r="D78" s="643">
        <f t="shared" si="32"/>
        <v>6.850821885755665E-3</v>
      </c>
      <c r="E78" s="643">
        <f t="shared" si="33"/>
        <v>14.460494718505265</v>
      </c>
      <c r="F78" s="643">
        <f t="shared" si="34"/>
        <v>11.327455281494736</v>
      </c>
      <c r="G78" s="643">
        <f t="shared" si="35"/>
        <v>-13.117421921708409</v>
      </c>
      <c r="H78" s="643">
        <f t="shared" si="36"/>
        <v>-4.2966521026450035</v>
      </c>
      <c r="I78" s="643">
        <f t="shared" si="37"/>
        <v>21.609844657130544</v>
      </c>
      <c r="J78" s="643">
        <f t="shared" si="40"/>
        <v>35.413031867455558</v>
      </c>
      <c r="K78" s="670">
        <f t="shared" si="38"/>
        <v>-80.93181567766328</v>
      </c>
      <c r="L78" s="670">
        <f t="shared" si="39"/>
        <v>35.413031867455558</v>
      </c>
    </row>
    <row r="79" spans="1:28" s="625" customFormat="1" ht="14.25">
      <c r="A79" s="695">
        <f t="shared" si="41"/>
        <v>6</v>
      </c>
      <c r="B79" s="695">
        <f>INDEX($B46:$B70,MATCH($J$44,$J$46:$J$70,0))</f>
        <v>0</v>
      </c>
      <c r="C79" s="695">
        <f t="shared" si="31"/>
        <v>-8.9196510000000007E-2</v>
      </c>
      <c r="D79" s="695">
        <f t="shared" si="32"/>
        <v>3.7401869999999999E-3</v>
      </c>
      <c r="E79" s="695">
        <f t="shared" si="33"/>
        <v>14.464320000000001</v>
      </c>
      <c r="F79" s="695">
        <f t="shared" si="34"/>
        <v>11.32363</v>
      </c>
      <c r="G79" s="695">
        <f t="shared" si="35"/>
        <v>-13.117440238657144</v>
      </c>
      <c r="H79" s="695">
        <f t="shared" si="36"/>
        <v>-4.3055757453442496</v>
      </c>
      <c r="I79" s="695">
        <f t="shared" si="37"/>
        <v>21.609862974079277</v>
      </c>
      <c r="J79" s="695">
        <f t="shared" si="40"/>
        <v>35.41584794124617</v>
      </c>
      <c r="K79" s="670">
        <f t="shared" si="38"/>
        <v>-80.914230593303927</v>
      </c>
      <c r="L79" s="670">
        <f t="shared" si="39"/>
        <v>35.41584794124617</v>
      </c>
    </row>
    <row r="80" spans="1:28" s="625" customFormat="1">
      <c r="A80" s="643">
        <f t="shared" si="41"/>
        <v>7</v>
      </c>
      <c r="B80" s="643">
        <f t="shared" ref="B80:B85" si="42">B79+2</f>
        <v>2</v>
      </c>
      <c r="C80" s="643">
        <f t="shared" si="31"/>
        <v>-8.9272704539990283E-2</v>
      </c>
      <c r="D80" s="643">
        <f t="shared" si="32"/>
        <v>6.2499527251647568E-4</v>
      </c>
      <c r="E80" s="643">
        <f t="shared" si="33"/>
        <v>14.460494718505265</v>
      </c>
      <c r="F80" s="643">
        <f t="shared" si="34"/>
        <v>11.327455281494736</v>
      </c>
      <c r="G80" s="643">
        <f t="shared" si="35"/>
        <v>-13.114745691076777</v>
      </c>
      <c r="H80" s="643">
        <f t="shared" si="36"/>
        <v>-4.3092537072208952</v>
      </c>
      <c r="I80" s="643">
        <f t="shared" si="37"/>
        <v>21.607168426498909</v>
      </c>
      <c r="J80" s="643">
        <f t="shared" si="40"/>
        <v>35.411740931825321</v>
      </c>
      <c r="K80" s="670">
        <f t="shared" si="38"/>
        <v>-80.905234688655071</v>
      </c>
      <c r="L80" s="670">
        <f t="shared" si="39"/>
        <v>35.411740931825321</v>
      </c>
    </row>
    <row r="81" spans="1:16" s="625" customFormat="1">
      <c r="A81" s="643">
        <f t="shared" si="41"/>
        <v>8</v>
      </c>
      <c r="B81" s="643">
        <f t="shared" si="42"/>
        <v>4</v>
      </c>
      <c r="C81" s="643">
        <f t="shared" si="31"/>
        <v>-8.9240134040904529E-2</v>
      </c>
      <c r="D81" s="643">
        <f t="shared" si="32"/>
        <v>-2.4909579154334697E-3</v>
      </c>
      <c r="E81" s="643">
        <f t="shared" si="33"/>
        <v>14.449037510407981</v>
      </c>
      <c r="F81" s="643">
        <f t="shared" si="34"/>
        <v>11.338912489592017</v>
      </c>
      <c r="G81" s="643">
        <f t="shared" si="35"/>
        <v>-13.109351406532269</v>
      </c>
      <c r="H81" s="643">
        <f t="shared" si="36"/>
        <v>-4.307681507244939</v>
      </c>
      <c r="I81" s="643">
        <f t="shared" si="37"/>
        <v>21.601774141954401</v>
      </c>
      <c r="J81" s="643">
        <f t="shared" si="40"/>
        <v>35.400731141228285</v>
      </c>
      <c r="K81" s="670">
        <f t="shared" si="38"/>
        <v>-80.904839709660862</v>
      </c>
      <c r="L81" s="670">
        <f t="shared" si="39"/>
        <v>35.400731141228285</v>
      </c>
    </row>
    <row r="82" spans="1:16" s="625" customFormat="1">
      <c r="A82" s="643">
        <f t="shared" si="41"/>
        <v>9</v>
      </c>
      <c r="B82" s="643">
        <f t="shared" si="42"/>
        <v>6</v>
      </c>
      <c r="C82" s="643">
        <f t="shared" si="31"/>
        <v>-8.9098838184878806E-2</v>
      </c>
      <c r="D82" s="643">
        <f t="shared" si="32"/>
        <v>-5.6038762548661089E-3</v>
      </c>
      <c r="E82" s="643">
        <f t="shared" si="33"/>
        <v>14.430004194074327</v>
      </c>
      <c r="F82" s="643">
        <f t="shared" si="34"/>
        <v>11.35794580592567</v>
      </c>
      <c r="G82" s="643">
        <f t="shared" si="35"/>
        <v>-13.101283665435687</v>
      </c>
      <c r="H82" s="643">
        <f t="shared" si="36"/>
        <v>-4.3008610608998747</v>
      </c>
      <c r="I82" s="643">
        <f t="shared" si="37"/>
        <v>21.593706400857819</v>
      </c>
      <c r="J82" s="643">
        <f t="shared" si="40"/>
        <v>35.382870245971006</v>
      </c>
      <c r="K82" s="670">
        <f t="shared" si="38"/>
        <v>-80.913069051744444</v>
      </c>
      <c r="L82" s="670">
        <f t="shared" si="39"/>
        <v>35.382870245971006</v>
      </c>
    </row>
    <row r="83" spans="1:16" s="625" customFormat="1">
      <c r="A83" s="643">
        <f t="shared" si="41"/>
        <v>10</v>
      </c>
      <c r="B83" s="643">
        <f t="shared" si="42"/>
        <v>8</v>
      </c>
      <c r="C83" s="643">
        <f t="shared" si="31"/>
        <v>-8.8848989119148694E-2</v>
      </c>
      <c r="D83" s="643">
        <f t="shared" si="32"/>
        <v>-8.7099671342931589E-3</v>
      </c>
      <c r="E83" s="643">
        <f t="shared" si="33"/>
        <v>14.403487497908262</v>
      </c>
      <c r="F83" s="643">
        <f t="shared" si="34"/>
        <v>11.384462502091742</v>
      </c>
      <c r="G83" s="643">
        <f t="shared" si="35"/>
        <v>-13.09058177301069</v>
      </c>
      <c r="H83" s="643">
        <f t="shared" si="36"/>
        <v>-4.2888006778489629</v>
      </c>
      <c r="I83" s="643">
        <f t="shared" si="37"/>
        <v>21.583004508432822</v>
      </c>
      <c r="J83" s="643">
        <f t="shared" si="40"/>
        <v>35.358241073014838</v>
      </c>
      <c r="K83" s="670">
        <f t="shared" si="38"/>
        <v>-80.92995761945005</v>
      </c>
      <c r="L83" s="670">
        <f t="shared" si="39"/>
        <v>35.358241073014838</v>
      </c>
    </row>
    <row r="84" spans="1:16" s="625" customFormat="1">
      <c r="A84" s="643">
        <f t="shared" si="41"/>
        <v>11</v>
      </c>
      <c r="B84" s="643">
        <f t="shared" si="42"/>
        <v>10</v>
      </c>
      <c r="C84" s="643">
        <f t="shared" si="31"/>
        <v>-8.8490891246314485E-2</v>
      </c>
      <c r="D84" s="643">
        <f t="shared" si="32"/>
        <v>-1.1805446260434657E-2</v>
      </c>
      <c r="E84" s="643">
        <f t="shared" si="33"/>
        <v>14.369616608588046</v>
      </c>
      <c r="F84" s="643">
        <f t="shared" si="34"/>
        <v>11.41833339141195</v>
      </c>
      <c r="G84" s="643">
        <f t="shared" si="35"/>
        <v>-13.077297867801416</v>
      </c>
      <c r="H84" s="643">
        <f t="shared" si="36"/>
        <v>-4.2715150518111908</v>
      </c>
      <c r="I84" s="643">
        <f t="shared" si="37"/>
        <v>21.569720603223548</v>
      </c>
      <c r="J84" s="643">
        <f t="shared" si="40"/>
        <v>35.326957257474035</v>
      </c>
      <c r="K84" s="670">
        <f t="shared" si="38"/>
        <v>-80.955551552278536</v>
      </c>
      <c r="L84" s="670">
        <f t="shared" si="39"/>
        <v>35.326957257474035</v>
      </c>
    </row>
    <row r="85" spans="1:16" s="625" customFormat="1">
      <c r="A85" s="643">
        <f>A84+1</f>
        <v>12</v>
      </c>
      <c r="B85" s="643">
        <f t="shared" si="42"/>
        <v>12</v>
      </c>
      <c r="C85" s="643">
        <f t="shared" si="31"/>
        <v>-8.8024980853473517E-2</v>
      </c>
      <c r="D85" s="643">
        <f t="shared" si="32"/>
        <v>-1.4886542268797409E-2</v>
      </c>
      <c r="E85" s="643">
        <f t="shared" si="33"/>
        <v>14.328556541681774</v>
      </c>
      <c r="F85" s="643">
        <f t="shared" si="34"/>
        <v>11.45939345831823</v>
      </c>
      <c r="G85" s="643">
        <f t="shared" si="35"/>
        <v>-13.061496667658758</v>
      </c>
      <c r="H85" s="643">
        <f t="shared" si="36"/>
        <v>-4.2490252426592425</v>
      </c>
      <c r="I85" s="643">
        <f t="shared" si="37"/>
        <v>21.55391940308089</v>
      </c>
      <c r="J85" s="643">
        <f>SQRT(G85^2+H85^2)+I85</f>
        <v>35.289162783233145</v>
      </c>
      <c r="K85" s="670">
        <f t="shared" si="38"/>
        <v>-80.989907814571168</v>
      </c>
      <c r="L85" s="670">
        <f t="shared" si="39"/>
        <v>35.289162783233145</v>
      </c>
    </row>
    <row r="86" spans="1:16" s="625" customFormat="1"/>
    <row r="87" spans="1:16" s="625" customFormat="1">
      <c r="I87" s="696"/>
      <c r="J87" s="697" t="s">
        <v>1576</v>
      </c>
      <c r="K87" s="698" t="s">
        <v>1577</v>
      </c>
      <c r="L87" s="699" t="s">
        <v>1578</v>
      </c>
    </row>
    <row r="88" spans="1:16" s="625" customFormat="1" ht="14.25">
      <c r="A88" s="629" t="s">
        <v>1579</v>
      </c>
      <c r="I88" s="696"/>
      <c r="J88" s="700" t="s">
        <v>1580</v>
      </c>
      <c r="K88" s="698" t="s">
        <v>1581</v>
      </c>
      <c r="L88" s="699" t="s">
        <v>1582</v>
      </c>
      <c r="N88" s="631" t="s">
        <v>1574</v>
      </c>
      <c r="O88" s="631" t="s">
        <v>1575</v>
      </c>
      <c r="P88" s="685"/>
    </row>
    <row r="89" spans="1:16" s="625" customFormat="1" ht="14.25">
      <c r="A89" s="664" t="s">
        <v>1583</v>
      </c>
      <c r="B89" s="701">
        <f>N63</f>
        <v>359.8133868528771</v>
      </c>
      <c r="C89" s="643">
        <f>$E$19*COS(B89*PI()/180)-$E$20*SIN(B89*PI()/180)</f>
        <v>-8.9183855076618385E-2</v>
      </c>
      <c r="D89" s="643">
        <f>$E$19*SIN(B89*PI()/180)+$E$20*COS(B89*PI()/180)</f>
        <v>4.0306809161478512E-3</v>
      </c>
      <c r="E89" s="643">
        <f>$E$22*COS(B89*PI()/180)^2+$E$23*SIN(B89*PI()/180)^2</f>
        <v>14.464286683241154</v>
      </c>
      <c r="F89" s="670">
        <f>$E$22*SIN(B89*PI()/180)^2+$E$23*COS(B89*PI()/180)^2</f>
        <v>11.323663316758847</v>
      </c>
      <c r="G89" s="643">
        <f>($E$18*(C89+$E$28)^2-$E$18*($E$21+$E$26)^2+$E$24-E89)/2</f>
        <v>-13.117553380194259</v>
      </c>
      <c r="H89" s="643">
        <f>$E$18*(C89+$E$28)*($E$21+$E$26)</f>
        <v>-4.3049648836505456</v>
      </c>
      <c r="I89" s="643">
        <f>$E$18*((C89+$E$28)^2+($E$21+$E$26)^2)/2+$E$18*(D89+$E$27)^2+($E$24+E89)/2</f>
        <v>21.609976115616391</v>
      </c>
      <c r="J89" s="702">
        <f>SQRT(G89^2+H89^2)+I89</f>
        <v>35.41587809019633</v>
      </c>
      <c r="K89" s="659">
        <f>$E$18*((C89+$E$28)^2+($E$21+$E$26)^2)+F89</f>
        <v>32.499720195361476</v>
      </c>
      <c r="L89" s="659">
        <f>$E$18*(D89^2+($E$21+$E$26)^2)+E89</f>
        <v>34.72752949581065</v>
      </c>
      <c r="N89" s="643">
        <f>IF(G89=0,0,IF((PI()/2-ATAN2(H89,G89))/2*180/PI()&gt;90,(PI()/2-ATAN2(H89,G89))/2*180/PI()-180,(PI()/2-ATAN2(H89,G89))/2*180/PI()))</f>
        <v>-80.915508159849225</v>
      </c>
      <c r="O89" s="643">
        <f>IF(G89=0,0,SQRT(G89^2+H89^2)*SIN(2*N89*PI()/180+ATAN2(H89,G89))+I89)</f>
        <v>35.41587809019633</v>
      </c>
      <c r="P89" s="703"/>
    </row>
    <row r="90" spans="1:16" s="625" customFormat="1" ht="14.25">
      <c r="A90" s="664" t="s">
        <v>1584</v>
      </c>
      <c r="B90" s="701">
        <f>N46</f>
        <v>89.013493023876151</v>
      </c>
      <c r="C90" s="643">
        <f>$E$19*COS(B90*PI()/180)-$E$20*SIN(B90*PI()/180)</f>
        <v>-5.2753239491640791E-3</v>
      </c>
      <c r="D90" s="670">
        <f>$E$19*SIN(B90*PI()/180)+$E$20*COS(B90*PI()/180)</f>
        <v>-8.9118894473654939E-2</v>
      </c>
      <c r="E90" s="670">
        <f>$E$22*COS(B90*PI()/180)^2+$E$23*SIN(B90*PI()/180)^2</f>
        <v>11.324560973270662</v>
      </c>
      <c r="F90" s="643">
        <f>$E$22*SIN(B90*PI()/180)^2+$E$23*COS(B90*PI()/180)^2</f>
        <v>14.463389026729335</v>
      </c>
      <c r="G90" s="670">
        <f>($E$18*(C90+$E$28)^2-$E$18*($E$21+$E$26)^2+$E$24-E90)/2</f>
        <v>-12.003431555613634</v>
      </c>
      <c r="H90" s="670">
        <f>$E$18*(C90+$E$28)*($E$21+$E$26)</f>
        <v>-0.2546434478698158</v>
      </c>
      <c r="I90" s="670">
        <f>$E$18*((C90+$E$28)^2+($E$21+$E$26)^2)/2+$E$18*(D90+$E$27)^2+($E$24+E90)/2</f>
        <v>20.495854291035766</v>
      </c>
      <c r="J90" s="670">
        <f>SQRT(G90^2+H90^2)+I90</f>
        <v>32.501986573992014</v>
      </c>
      <c r="K90" s="702">
        <f>$E$18*((C90+$E$28)^2+($E$21+$E$26)^2)+F90</f>
        <v>34.727963844522719</v>
      </c>
      <c r="L90" s="659">
        <f>$E$18*(D90^2+($E$21+$E$26)^2)+E90</f>
        <v>32.4992858466494</v>
      </c>
      <c r="N90" s="704" t="s">
        <v>1625</v>
      </c>
      <c r="O90" s="704" t="s">
        <v>1625</v>
      </c>
      <c r="P90" s="703"/>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380"/>
  <sheetViews>
    <sheetView zoomScaleNormal="75" workbookViewId="0">
      <pane ySplit="13" topLeftCell="A225" activePane="bottomLeft" state="frozen"/>
      <selection pane="bottomLeft" activeCell="D372" sqref="D372"/>
    </sheetView>
  </sheetViews>
  <sheetFormatPr baseColWidth="10" defaultColWidth="12" defaultRowHeight="12.75"/>
  <cols>
    <col min="1" max="1" width="12" style="213" customWidth="1"/>
    <col min="2" max="2" width="27.33203125" style="214" customWidth="1"/>
    <col min="3" max="7" width="12.1640625" style="214" bestFit="1" customWidth="1"/>
    <col min="8" max="8" width="12.1640625" style="213" bestFit="1" customWidth="1"/>
    <col min="9" max="9" width="2.83203125" style="215" customWidth="1"/>
    <col min="10" max="11" width="12.1640625" style="214" bestFit="1" customWidth="1"/>
    <col min="12" max="12" width="12.1640625" style="213" bestFit="1" customWidth="1"/>
    <col min="13" max="14" width="12.1640625" style="214" bestFit="1" customWidth="1"/>
    <col min="15" max="15" width="4" style="214" customWidth="1"/>
    <col min="16" max="16384" width="12" style="214"/>
  </cols>
  <sheetData>
    <row r="1" spans="1:14">
      <c r="B1" s="214" t="s">
        <v>318</v>
      </c>
    </row>
    <row r="2" spans="1:14">
      <c r="B2" s="5" t="s">
        <v>2110</v>
      </c>
      <c r="C2" s="67">
        <f>'Misc Data'!B26</f>
        <v>10001</v>
      </c>
      <c r="D2" s="9" t="str">
        <f>'Misc Data'!C26</f>
        <v>R-2000iB/210F</v>
      </c>
    </row>
    <row r="3" spans="1:14">
      <c r="B3" s="214" t="s">
        <v>430</v>
      </c>
      <c r="E3" s="214" t="s">
        <v>3006</v>
      </c>
    </row>
    <row r="4" spans="1:14">
      <c r="B4" s="216" t="s">
        <v>397</v>
      </c>
      <c r="C4" s="217"/>
      <c r="D4" s="217"/>
      <c r="E4" s="217"/>
      <c r="F4" s="217"/>
      <c r="G4" s="217"/>
      <c r="H4" s="218"/>
      <c r="J4" s="219" t="s">
        <v>352</v>
      </c>
      <c r="K4" s="219" t="s">
        <v>2781</v>
      </c>
      <c r="L4" s="220"/>
      <c r="M4" s="221" t="s">
        <v>3188</v>
      </c>
      <c r="N4" s="222" t="b">
        <f>ISNUMBER(M6)</f>
        <v>1</v>
      </c>
    </row>
    <row r="5" spans="1:14" ht="14.25">
      <c r="A5" s="223"/>
      <c r="B5" s="224" t="str">
        <f>VLOOKUP($C$2,J3J6Table,2,FALSE)</f>
        <v>R-2000iB/210F</v>
      </c>
      <c r="C5" s="225" t="s">
        <v>3189</v>
      </c>
      <c r="D5" s="225" t="s">
        <v>3190</v>
      </c>
      <c r="E5" s="225" t="s">
        <v>3852</v>
      </c>
      <c r="F5" s="225" t="s">
        <v>1891</v>
      </c>
      <c r="G5" s="225" t="s">
        <v>1892</v>
      </c>
      <c r="H5" s="225" t="s">
        <v>1893</v>
      </c>
      <c r="J5" s="225" t="s">
        <v>1377</v>
      </c>
      <c r="K5" s="225" t="s">
        <v>1377</v>
      </c>
      <c r="L5" s="225" t="s">
        <v>1378</v>
      </c>
      <c r="M5" s="225" t="s">
        <v>1377</v>
      </c>
      <c r="N5" s="225" t="s">
        <v>1378</v>
      </c>
    </row>
    <row r="6" spans="1:14">
      <c r="A6" s="226" t="s">
        <v>3187</v>
      </c>
      <c r="B6" s="227" t="s">
        <v>3186</v>
      </c>
      <c r="C6" s="224">
        <f>VLOOKUP($C$2,J3J6Table,3,FALSE)</f>
        <v>178</v>
      </c>
      <c r="D6" s="224">
        <f>VLOOKUP($C$2,J3J6Table,4,FALSE)</f>
        <v>25</v>
      </c>
      <c r="E6" s="224">
        <f>VLOOKUP($C$2,J3J6Table,5,FALSE)</f>
        <v>85</v>
      </c>
      <c r="F6" s="404">
        <f>VLOOKUP($C$2,J3J6Table,6,FALSE)</f>
        <v>210</v>
      </c>
      <c r="G6" s="404">
        <f>VLOOKUP($C$2,J3J6Table,7,FALSE)</f>
        <v>221</v>
      </c>
      <c r="H6" s="224">
        <f>VLOOKUP($C$2,J3J6Table,8,FALSE)</f>
        <v>1</v>
      </c>
      <c r="J6" s="404">
        <f>C6</f>
        <v>178</v>
      </c>
      <c r="K6" s="404">
        <f>IF(H6=3,C6/(E6-G6),(D6-C6)/(F6-E6))</f>
        <v>-1.224</v>
      </c>
      <c r="L6" s="405">
        <f>-(K6*E6-C6)</f>
        <v>282.03999999999996</v>
      </c>
      <c r="M6" s="404">
        <f>IF(H6=1,-D6/(G6-F6),"-")</f>
        <v>-2.2727272727272729</v>
      </c>
      <c r="N6" s="404">
        <f>IF(H6=1,-(M6*F6-D6),"-")</f>
        <v>502.27272727272731</v>
      </c>
    </row>
    <row r="7" spans="1:14">
      <c r="J7" s="219" t="s">
        <v>352</v>
      </c>
      <c r="K7" s="219" t="s">
        <v>2781</v>
      </c>
      <c r="M7" s="221" t="s">
        <v>3188</v>
      </c>
    </row>
    <row r="8" spans="1:14">
      <c r="A8" s="226" t="s">
        <v>2190</v>
      </c>
      <c r="B8" s="228" t="s">
        <v>2122</v>
      </c>
      <c r="C8" s="229">
        <f>Anal_Input_8</f>
        <v>11</v>
      </c>
      <c r="J8" s="228">
        <f>+E6</f>
        <v>85</v>
      </c>
      <c r="K8" s="228">
        <f>+(C8-L6)/K6</f>
        <v>221.43790849673201</v>
      </c>
      <c r="L8" s="224"/>
      <c r="M8" s="228">
        <f>+(C8-N6)/M6</f>
        <v>216.16</v>
      </c>
    </row>
    <row r="9" spans="1:14">
      <c r="E9" s="213" t="s">
        <v>347</v>
      </c>
      <c r="F9" s="213">
        <v>1</v>
      </c>
      <c r="G9" s="213">
        <v>2</v>
      </c>
      <c r="H9" s="213">
        <v>3</v>
      </c>
    </row>
    <row r="10" spans="1:14">
      <c r="A10" s="226" t="s">
        <v>2191</v>
      </c>
      <c r="B10" s="228" t="s">
        <v>2192</v>
      </c>
      <c r="C10" s="224">
        <f>IF(H6=1,F10,IF(H6=2,$G10,IF(H6=3,H10,IF(H6="-",E10))))</f>
        <v>216.16</v>
      </c>
      <c r="E10" s="228">
        <f>VLOOKUP(Anal_Robot_Code,Table1,12,TRUE)</f>
        <v>210</v>
      </c>
      <c r="F10" s="224">
        <f>IF($C8&gt;$C6,0,IF($C8&gt;$D6,$K8,IF($C8&lt;=$D6,$M8,"NG")))</f>
        <v>216.16</v>
      </c>
      <c r="G10" s="224">
        <f>IF($C8&gt;$C6,0,IF($C8&gt;$D6,$K8,IF($C8&lt;=$D6,$F6,"NG")))</f>
        <v>210</v>
      </c>
      <c r="H10" s="224">
        <f>IF($C8&gt;$C6,0,IF($C8&gt;=0,$K8))</f>
        <v>221.43790849673201</v>
      </c>
    </row>
    <row r="11" spans="1:14">
      <c r="J11" s="245">
        <f>C11</f>
        <v>0</v>
      </c>
      <c r="K11" s="257" t="e">
        <f>(D11-C11)/(F11-E11)</f>
        <v>#DIV/0!</v>
      </c>
      <c r="L11" s="258" t="e">
        <f>-(K11*E11-C11)</f>
        <v>#DIV/0!</v>
      </c>
      <c r="M11" s="257" t="e">
        <f>D11/(F11-G11)</f>
        <v>#DIV/0!</v>
      </c>
      <c r="N11" s="258" t="e">
        <f>-(M11*F11-D11)</f>
        <v>#DIV/0!</v>
      </c>
    </row>
    <row r="12" spans="1:14">
      <c r="J12" s="259">
        <f>C12</f>
        <v>0</v>
      </c>
      <c r="K12" s="259" t="e">
        <f>(D12-C12)/(F12-E12)</f>
        <v>#DIV/0!</v>
      </c>
      <c r="L12" s="259" t="e">
        <f>-(K12*E12-C12)</f>
        <v>#DIV/0!</v>
      </c>
      <c r="M12" s="259" t="s">
        <v>32</v>
      </c>
      <c r="N12" s="260" t="s">
        <v>32</v>
      </c>
    </row>
    <row r="13" spans="1:14">
      <c r="J13" s="254">
        <f>C13</f>
        <v>0</v>
      </c>
      <c r="K13" s="255" t="e">
        <f>C13/(E13-G13)</f>
        <v>#DIV/0!</v>
      </c>
      <c r="L13" s="256" t="e">
        <f>C13-K13*E13</f>
        <v>#DIV/0!</v>
      </c>
      <c r="M13" s="255" t="s">
        <v>32</v>
      </c>
      <c r="N13" s="256" t="s">
        <v>32</v>
      </c>
    </row>
    <row r="14" spans="1:14" ht="15.75">
      <c r="A14" s="230" t="s">
        <v>905</v>
      </c>
    </row>
    <row r="15" spans="1:14">
      <c r="C15" s="231"/>
      <c r="D15" s="215"/>
      <c r="E15" s="215"/>
    </row>
    <row r="16" spans="1:14">
      <c r="B16" s="232" t="s">
        <v>1688</v>
      </c>
      <c r="C16" s="228" t="s">
        <v>1689</v>
      </c>
      <c r="D16" s="228" t="s">
        <v>2122</v>
      </c>
      <c r="E16" s="228" t="s">
        <v>2789</v>
      </c>
      <c r="F16" s="228" t="s">
        <v>3627</v>
      </c>
    </row>
    <row r="17" spans="2:14">
      <c r="B17" s="228"/>
      <c r="C17" s="950">
        <v>174</v>
      </c>
      <c r="D17" s="950">
        <v>3</v>
      </c>
      <c r="E17" s="951">
        <v>0.9</v>
      </c>
      <c r="F17" s="950">
        <v>101</v>
      </c>
    </row>
    <row r="18" spans="2:14">
      <c r="D18" s="214" t="s">
        <v>3489</v>
      </c>
    </row>
    <row r="19" spans="2:14">
      <c r="B19" s="216" t="s">
        <v>3487</v>
      </c>
      <c r="C19" s="217"/>
      <c r="D19" s="217"/>
      <c r="E19" s="217" t="s">
        <v>3488</v>
      </c>
      <c r="F19" s="217"/>
      <c r="G19" s="217"/>
      <c r="H19" s="218"/>
    </row>
    <row r="20" spans="2:14">
      <c r="B20" s="233" t="s">
        <v>966</v>
      </c>
      <c r="C20" s="234" t="s">
        <v>967</v>
      </c>
      <c r="D20" s="224" t="s">
        <v>968</v>
      </c>
      <c r="E20" s="224" t="s">
        <v>969</v>
      </c>
      <c r="F20" s="224" t="s">
        <v>970</v>
      </c>
      <c r="G20" s="224" t="s">
        <v>2781</v>
      </c>
      <c r="H20" s="224" t="s">
        <v>3188</v>
      </c>
    </row>
    <row r="21" spans="2:14">
      <c r="B21" s="224">
        <f>IF(F21,1,IF(G21,2,IF(H21,3,0)))</f>
        <v>2</v>
      </c>
      <c r="C21" s="224" t="b">
        <f>C17&lt;=E36</f>
        <v>0</v>
      </c>
      <c r="D21" s="224" t="b">
        <f>IF(H36=3,H39,C17&lt;=F36)</f>
        <v>1</v>
      </c>
      <c r="E21" s="224" t="b">
        <f>C17&lt;=G36</f>
        <v>1</v>
      </c>
      <c r="F21" s="228" t="b">
        <f>C21</f>
        <v>0</v>
      </c>
      <c r="G21" s="228" t="b">
        <f xml:space="preserve"> AND( IF(H36=3, E21, D21), NOT(F21))</f>
        <v>1</v>
      </c>
      <c r="H21" s="224" t="b">
        <f>AND( IF(H36=1, E21, FALSE), NOT(F21), NOT(G21))</f>
        <v>0</v>
      </c>
    </row>
    <row r="22" spans="2:14">
      <c r="B22" s="228" t="s">
        <v>1881</v>
      </c>
      <c r="C22" s="235">
        <f>IF(F21,F22,IF(G21,G22,IF(H21,H22,0)))</f>
        <v>69.063999999999965</v>
      </c>
      <c r="F22" s="235">
        <f>J36</f>
        <v>178</v>
      </c>
      <c r="G22" s="235">
        <f>K36*C17+L36</f>
        <v>69.063999999999965</v>
      </c>
      <c r="H22" s="235">
        <f>IF(N34, M36*C17+N36, 0)</f>
        <v>106.81818181818181</v>
      </c>
    </row>
    <row r="24" spans="2:14">
      <c r="B24" s="216" t="s">
        <v>392</v>
      </c>
      <c r="C24" s="236"/>
      <c r="D24" s="236"/>
      <c r="E24" s="236"/>
      <c r="F24" s="237"/>
      <c r="G24" s="238"/>
    </row>
    <row r="25" spans="2:14">
      <c r="C25" s="239" t="s">
        <v>1689</v>
      </c>
      <c r="D25" s="239" t="s">
        <v>1689</v>
      </c>
      <c r="E25" s="239" t="s">
        <v>1005</v>
      </c>
      <c r="F25" s="239" t="s">
        <v>1005</v>
      </c>
      <c r="G25" s="239" t="s">
        <v>290</v>
      </c>
      <c r="H25" s="239" t="s">
        <v>290</v>
      </c>
      <c r="J25" s="429"/>
      <c r="K25" s="428"/>
    </row>
    <row r="26" spans="2:14">
      <c r="C26" s="240" t="s">
        <v>1006</v>
      </c>
      <c r="D26" s="240" t="s">
        <v>689</v>
      </c>
      <c r="E26" s="240" t="s">
        <v>1006</v>
      </c>
      <c r="F26" s="240" t="s">
        <v>689</v>
      </c>
      <c r="G26" s="240" t="s">
        <v>3116</v>
      </c>
      <c r="H26" s="240" t="s">
        <v>690</v>
      </c>
    </row>
    <row r="27" spans="2:14">
      <c r="B27" s="228" t="s">
        <v>691</v>
      </c>
      <c r="C27" s="240">
        <f>IF(H36=1, F36, G36)</f>
        <v>210</v>
      </c>
      <c r="D27" s="240">
        <f>G36</f>
        <v>221</v>
      </c>
      <c r="E27" s="240">
        <f>IF(H36=3, 0, D36)</f>
        <v>25</v>
      </c>
      <c r="F27" s="240">
        <f>C22</f>
        <v>69.063999999999965</v>
      </c>
      <c r="G27" s="224">
        <v>1</v>
      </c>
      <c r="H27" s="224" t="s">
        <v>138</v>
      </c>
    </row>
    <row r="28" spans="2:14">
      <c r="B28" s="228" t="s">
        <v>1702</v>
      </c>
      <c r="C28" s="241">
        <f>C17/C27</f>
        <v>0.82857142857142863</v>
      </c>
      <c r="D28" s="241">
        <f>C17/D27</f>
        <v>0.78733031674208143</v>
      </c>
      <c r="E28" s="241">
        <f>IF( E27&gt; 0, D17/E27, NA())</f>
        <v>0.12</v>
      </c>
      <c r="F28" s="241">
        <f>IF( F27&gt; 0, D17/F27, NA())</f>
        <v>4.3437970578014615E-2</v>
      </c>
      <c r="G28" s="224">
        <v>2</v>
      </c>
      <c r="H28" s="224" t="s">
        <v>1703</v>
      </c>
      <c r="J28" s="213" t="s">
        <v>1223</v>
      </c>
      <c r="K28" s="213" t="s">
        <v>347</v>
      </c>
      <c r="L28" s="213">
        <v>1</v>
      </c>
      <c r="M28" s="213">
        <v>2</v>
      </c>
      <c r="N28" s="213">
        <v>3</v>
      </c>
    </row>
    <row r="29" spans="2:14">
      <c r="B29" s="228" t="s">
        <v>1952</v>
      </c>
      <c r="C29" s="228" t="b">
        <f>C28&gt;$E$17</f>
        <v>0</v>
      </c>
      <c r="D29" s="228" t="b">
        <f>D28&gt;$E$17</f>
        <v>0</v>
      </c>
      <c r="E29" s="228" t="b">
        <f>IF( H36=3, D17&gt;0, E28&gt;$E$17)</f>
        <v>0</v>
      </c>
      <c r="F29" s="228" t="b">
        <f>IF( F27=0, D17&gt;0, F28&gt;$E$17)</f>
        <v>0</v>
      </c>
      <c r="G29" s="224">
        <v>3</v>
      </c>
      <c r="H29" s="224" t="s">
        <v>1953</v>
      </c>
      <c r="J29" s="224">
        <f>IF(H36=1,L29,IF(H36=2,M29,IF(H36=3,N29,IF(H36="-",K29))))</f>
        <v>216.16</v>
      </c>
      <c r="K29" s="224">
        <f>VLOOKUP(Anal_Robot_Code,Table1,12,TRUE)</f>
        <v>210</v>
      </c>
      <c r="L29" s="224">
        <f>IF($C8&gt;$C36,0,IF($C8&gt;$D36,$K32,IF($C8&lt;=$D36,$M32,"NG")))</f>
        <v>216.16</v>
      </c>
      <c r="M29" s="224">
        <f>IF($C8&gt;$C36,0,IF($C8&gt;$D36,$K32,IF($C8&lt;=$D36,$F36,"NG")))</f>
        <v>210</v>
      </c>
      <c r="N29" s="224">
        <f>IF($C8&gt;$C36,0,IF($C8&gt;=0,$K32))</f>
        <v>221.43790849673201</v>
      </c>
    </row>
    <row r="30" spans="2:14">
      <c r="B30" s="228" t="s">
        <v>1954</v>
      </c>
      <c r="C30" s="228" t="b">
        <f>C28&gt;1</f>
        <v>0</v>
      </c>
      <c r="D30" s="228" t="b">
        <f>D28&gt;1</f>
        <v>0</v>
      </c>
      <c r="E30" s="228" t="b">
        <f>IF( H36=3, D17&gt;0, E28&gt;1)</f>
        <v>0</v>
      </c>
      <c r="F30" s="228" t="b">
        <f>IF( F27=0, D17&gt;0, F28&gt;1)</f>
        <v>0</v>
      </c>
      <c r="G30" s="224">
        <v>4</v>
      </c>
      <c r="H30" s="224" t="s">
        <v>2286</v>
      </c>
    </row>
    <row r="31" spans="2:14">
      <c r="D31" s="225" t="s">
        <v>3116</v>
      </c>
      <c r="E31" s="225" t="s">
        <v>690</v>
      </c>
      <c r="F31" s="242"/>
      <c r="G31" s="225" t="s">
        <v>3116</v>
      </c>
      <c r="H31" s="225" t="s">
        <v>690</v>
      </c>
      <c r="J31" s="225" t="s">
        <v>352</v>
      </c>
      <c r="K31" s="225" t="s">
        <v>2781</v>
      </c>
      <c r="L31" s="224"/>
      <c r="M31" s="427" t="s">
        <v>3188</v>
      </c>
    </row>
    <row r="32" spans="2:14">
      <c r="B32" s="232" t="s">
        <v>1955</v>
      </c>
      <c r="C32" s="243" t="s">
        <v>1689</v>
      </c>
      <c r="D32" s="244">
        <f>IF(D30, $G30, IF( C30, $G29, IF(C29,$G28,$G27)))</f>
        <v>1</v>
      </c>
      <c r="E32" s="245" t="str">
        <f>VLOOKUP(D32,G27:H30,2)</f>
        <v>OK</v>
      </c>
      <c r="F32" s="246" t="s">
        <v>1005</v>
      </c>
      <c r="G32" s="244">
        <f>IF(F30, $G30, IF( OR(F29,E30), $G29, IF(E29,$G28,$G27)))</f>
        <v>1</v>
      </c>
      <c r="H32" s="245" t="str">
        <f>VLOOKUP(G32,G27:H30,2)</f>
        <v>OK</v>
      </c>
      <c r="J32" s="224">
        <f>E36</f>
        <v>85</v>
      </c>
      <c r="K32" s="224">
        <f>+(C8-L36)/K36</f>
        <v>221.43790849673201</v>
      </c>
      <c r="L32" s="224"/>
      <c r="M32" s="224">
        <f>+(C8-N36)/M36</f>
        <v>216.16</v>
      </c>
    </row>
    <row r="34" spans="1:17">
      <c r="B34" s="216" t="s">
        <v>397</v>
      </c>
      <c r="C34" s="217"/>
      <c r="D34" s="217"/>
      <c r="E34" s="217"/>
      <c r="F34" s="217"/>
      <c r="G34" s="217"/>
      <c r="H34" s="218"/>
      <c r="J34" s="219" t="s">
        <v>352</v>
      </c>
      <c r="K34" s="219" t="s">
        <v>2781</v>
      </c>
      <c r="L34" s="220"/>
      <c r="M34" s="221" t="s">
        <v>3188</v>
      </c>
      <c r="N34" s="222" t="b">
        <f>ISNUMBER(M36)</f>
        <v>1</v>
      </c>
    </row>
    <row r="35" spans="1:17" ht="14.25">
      <c r="A35" s="223"/>
      <c r="B35" s="224" t="str">
        <f>VLOOKUP($C$2,J3J6Table,2,FALSE)</f>
        <v>R-2000iB/210F</v>
      </c>
      <c r="C35" s="225" t="s">
        <v>3189</v>
      </c>
      <c r="D35" s="225" t="s">
        <v>3190</v>
      </c>
      <c r="E35" s="225" t="s">
        <v>3852</v>
      </c>
      <c r="F35" s="225" t="s">
        <v>1891</v>
      </c>
      <c r="G35" s="225" t="s">
        <v>1892</v>
      </c>
      <c r="H35" s="225" t="s">
        <v>1893</v>
      </c>
      <c r="J35" s="225" t="s">
        <v>1377</v>
      </c>
      <c r="K35" s="225" t="s">
        <v>1377</v>
      </c>
      <c r="L35" s="225" t="s">
        <v>1378</v>
      </c>
      <c r="M35" s="225" t="s">
        <v>1377</v>
      </c>
      <c r="N35" s="225" t="s">
        <v>1378</v>
      </c>
      <c r="P35" s="952" t="s">
        <v>1502</v>
      </c>
    </row>
    <row r="36" spans="1:17">
      <c r="B36" s="227" t="s">
        <v>3186</v>
      </c>
      <c r="C36" s="224">
        <f>VLOOKUP($C$2,J3J6Table,3,FALSE)</f>
        <v>178</v>
      </c>
      <c r="D36" s="224">
        <f>VLOOKUP($C$2,J3J6Table,4,FALSE)</f>
        <v>25</v>
      </c>
      <c r="E36" s="224">
        <f>VLOOKUP($C$2,J3J6Table,5,FALSE)</f>
        <v>85</v>
      </c>
      <c r="F36" s="224">
        <f>VLOOKUP($C$2,J3J6Table,6,FALSE)</f>
        <v>210</v>
      </c>
      <c r="G36" s="224">
        <f>VLOOKUP($C$2,J3J6Table,7,FALSE)</f>
        <v>221</v>
      </c>
      <c r="H36" s="224">
        <f>VLOOKUP($C$2,J3J6Table,8,FALSE)</f>
        <v>1</v>
      </c>
      <c r="J36" s="224">
        <f>VLOOKUP($C$2,J3J6Table,10,FALSE)</f>
        <v>178</v>
      </c>
      <c r="K36" s="224">
        <f>VLOOKUP($C$2,J3J6Table,11,FALSE)</f>
        <v>-1.224</v>
      </c>
      <c r="L36" s="224">
        <f>VLOOKUP($C$2,J3J6Table,12,FALSE)</f>
        <v>282.03999999999996</v>
      </c>
      <c r="M36" s="224">
        <f>VLOOKUP($C$2,J3J6Table,13,FALSE)</f>
        <v>-2.2727272727272729</v>
      </c>
      <c r="N36" s="224">
        <f>VLOOKUP($C$2,J3J6Table,14,FALSE)</f>
        <v>502.27272727272731</v>
      </c>
      <c r="P36" s="953">
        <f>IF(AND(VLOOKUP($C$2,J3J6Table,16,FALSE)="-",VLOOKUP($C$2,J3J6Table,17,FALSE)="-"),0,IF(AND(VLOOKUP($C$2,J3J6Table,16,FALSE)=0,VLOOKUP($C$2,J3J6Table,17,FALSE)=0),1,2))</f>
        <v>1</v>
      </c>
    </row>
    <row r="37" spans="1:17">
      <c r="P37"/>
      <c r="Q37"/>
    </row>
    <row r="38" spans="1:17">
      <c r="J38" s="216" t="s">
        <v>692</v>
      </c>
      <c r="K38" s="247"/>
      <c r="L38" s="220"/>
      <c r="M38" s="247"/>
      <c r="N38" s="248"/>
    </row>
    <row r="39" spans="1:17" ht="14.25">
      <c r="B39" s="216" t="s">
        <v>693</v>
      </c>
      <c r="C39" s="249"/>
      <c r="D39" s="249"/>
      <c r="E39" s="249"/>
      <c r="F39" s="217"/>
      <c r="G39" s="250"/>
      <c r="H39" s="218" t="s">
        <v>32</v>
      </c>
      <c r="J39" s="219" t="s">
        <v>352</v>
      </c>
      <c r="K39" s="219" t="s">
        <v>2781</v>
      </c>
      <c r="L39" s="220"/>
      <c r="M39" s="221" t="s">
        <v>3079</v>
      </c>
      <c r="N39" s="222"/>
      <c r="P39" s="954" t="s">
        <v>1503</v>
      </c>
      <c r="Q39" s="955"/>
    </row>
    <row r="40" spans="1:17" s="253" customFormat="1">
      <c r="A40" s="225" t="s">
        <v>3116</v>
      </c>
      <c r="B40" s="889" t="s">
        <v>3057</v>
      </c>
      <c r="C40" s="890" t="s">
        <v>3189</v>
      </c>
      <c r="D40" s="890" t="s">
        <v>3190</v>
      </c>
      <c r="E40" s="890" t="s">
        <v>3852</v>
      </c>
      <c r="F40" s="890" t="s">
        <v>1891</v>
      </c>
      <c r="G40" s="890" t="s">
        <v>1892</v>
      </c>
      <c r="H40" s="891" t="s">
        <v>1893</v>
      </c>
      <c r="I40" s="251"/>
      <c r="J40" s="252" t="s">
        <v>1377</v>
      </c>
      <c r="K40" s="252" t="s">
        <v>1377</v>
      </c>
      <c r="L40" s="252" t="s">
        <v>1378</v>
      </c>
      <c r="M40" s="252" t="s">
        <v>1377</v>
      </c>
      <c r="N40" s="252" t="s">
        <v>1378</v>
      </c>
      <c r="P40" s="956" t="s">
        <v>1504</v>
      </c>
      <c r="Q40" s="956" t="s">
        <v>1505</v>
      </c>
    </row>
    <row r="41" spans="1:17">
      <c r="A41" s="224">
        <v>1</v>
      </c>
      <c r="B41" s="886" t="s">
        <v>2021</v>
      </c>
      <c r="C41" s="888">
        <v>150</v>
      </c>
      <c r="D41" s="888" t="s">
        <v>32</v>
      </c>
      <c r="E41" s="888">
        <v>150</v>
      </c>
      <c r="F41" s="888" t="s">
        <v>32</v>
      </c>
      <c r="G41" s="888">
        <v>300</v>
      </c>
      <c r="H41" s="888">
        <f t="shared" ref="H41:H72" si="0">IF((D41=$H$39),3,(IF((F41=G41),2,1)))</f>
        <v>3</v>
      </c>
      <c r="I41" s="238"/>
      <c r="J41" s="254">
        <f t="shared" ref="J41:J72" si="1">C41</f>
        <v>150</v>
      </c>
      <c r="K41" s="255">
        <f t="shared" ref="K41:K54" si="2">C41/(E41-G41)</f>
        <v>-1</v>
      </c>
      <c r="L41" s="256">
        <f t="shared" ref="L41:L54" si="3">C41-K41*E41</f>
        <v>300</v>
      </c>
      <c r="M41" s="255" t="s">
        <v>32</v>
      </c>
      <c r="N41" s="256" t="s">
        <v>32</v>
      </c>
      <c r="P41" s="948">
        <v>0</v>
      </c>
      <c r="Q41" s="948">
        <v>0</v>
      </c>
    </row>
    <row r="42" spans="1:17">
      <c r="A42" s="224">
        <v>2</v>
      </c>
      <c r="B42" s="886" t="s">
        <v>2022</v>
      </c>
      <c r="C42" s="888">
        <v>100</v>
      </c>
      <c r="D42" s="888" t="s">
        <v>32</v>
      </c>
      <c r="E42" s="888">
        <v>100</v>
      </c>
      <c r="F42" s="888" t="s">
        <v>32</v>
      </c>
      <c r="G42" s="888">
        <v>200</v>
      </c>
      <c r="H42" s="888">
        <f t="shared" si="0"/>
        <v>3</v>
      </c>
      <c r="I42" s="238"/>
      <c r="J42" s="254">
        <f t="shared" si="1"/>
        <v>100</v>
      </c>
      <c r="K42" s="255">
        <f t="shared" si="2"/>
        <v>-1</v>
      </c>
      <c r="L42" s="256">
        <f t="shared" si="3"/>
        <v>200</v>
      </c>
      <c r="M42" s="255" t="s">
        <v>32</v>
      </c>
      <c r="N42" s="256" t="s">
        <v>32</v>
      </c>
      <c r="P42" s="948">
        <v>0</v>
      </c>
      <c r="Q42" s="948">
        <v>0</v>
      </c>
    </row>
    <row r="43" spans="1:17">
      <c r="A43" s="224">
        <v>3</v>
      </c>
      <c r="B43" s="886" t="s">
        <v>2023</v>
      </c>
      <c r="C43" s="888">
        <v>85</v>
      </c>
      <c r="D43" s="888" t="s">
        <v>32</v>
      </c>
      <c r="E43" s="888">
        <v>80</v>
      </c>
      <c r="F43" s="888" t="s">
        <v>32</v>
      </c>
      <c r="G43" s="888">
        <v>165</v>
      </c>
      <c r="H43" s="888">
        <f t="shared" si="0"/>
        <v>3</v>
      </c>
      <c r="I43" s="238"/>
      <c r="J43" s="254">
        <f t="shared" si="1"/>
        <v>85</v>
      </c>
      <c r="K43" s="255">
        <f t="shared" si="2"/>
        <v>-1</v>
      </c>
      <c r="L43" s="256">
        <f t="shared" si="3"/>
        <v>165</v>
      </c>
      <c r="M43" s="255" t="s">
        <v>32</v>
      </c>
      <c r="N43" s="256" t="s">
        <v>32</v>
      </c>
      <c r="P43" s="948">
        <v>0</v>
      </c>
      <c r="Q43" s="948">
        <v>0</v>
      </c>
    </row>
    <row r="44" spans="1:17">
      <c r="A44" s="224">
        <v>4</v>
      </c>
      <c r="B44" s="886" t="s">
        <v>1015</v>
      </c>
      <c r="C44" s="888">
        <v>60</v>
      </c>
      <c r="D44" s="888" t="s">
        <v>32</v>
      </c>
      <c r="E44" s="888">
        <v>60</v>
      </c>
      <c r="F44" s="888" t="s">
        <v>32</v>
      </c>
      <c r="G44" s="888">
        <v>120</v>
      </c>
      <c r="H44" s="888">
        <f t="shared" si="0"/>
        <v>3</v>
      </c>
      <c r="I44" s="238"/>
      <c r="J44" s="254">
        <f t="shared" si="1"/>
        <v>60</v>
      </c>
      <c r="K44" s="255">
        <f t="shared" si="2"/>
        <v>-1</v>
      </c>
      <c r="L44" s="256">
        <f t="shared" si="3"/>
        <v>120</v>
      </c>
      <c r="M44" s="255" t="s">
        <v>32</v>
      </c>
      <c r="N44" s="256" t="s">
        <v>32</v>
      </c>
      <c r="P44" s="948">
        <v>0</v>
      </c>
      <c r="Q44" s="948">
        <v>0</v>
      </c>
    </row>
    <row r="45" spans="1:17">
      <c r="A45" s="224">
        <v>5</v>
      </c>
      <c r="B45" s="886" t="s">
        <v>1016</v>
      </c>
      <c r="C45" s="888">
        <v>60</v>
      </c>
      <c r="D45" s="888" t="s">
        <v>32</v>
      </c>
      <c r="E45" s="888">
        <v>60</v>
      </c>
      <c r="F45" s="888" t="s">
        <v>32</v>
      </c>
      <c r="G45" s="888">
        <v>120</v>
      </c>
      <c r="H45" s="888">
        <f t="shared" si="0"/>
        <v>3</v>
      </c>
      <c r="I45" s="238"/>
      <c r="J45" s="254">
        <f t="shared" si="1"/>
        <v>60</v>
      </c>
      <c r="K45" s="255">
        <f t="shared" si="2"/>
        <v>-1</v>
      </c>
      <c r="L45" s="256">
        <f t="shared" si="3"/>
        <v>120</v>
      </c>
      <c r="M45" s="255" t="s">
        <v>32</v>
      </c>
      <c r="N45" s="256" t="s">
        <v>32</v>
      </c>
      <c r="P45" s="948">
        <v>0</v>
      </c>
      <c r="Q45" s="948">
        <v>0</v>
      </c>
    </row>
    <row r="46" spans="1:17">
      <c r="A46" s="224">
        <v>6</v>
      </c>
      <c r="B46" s="886" t="s">
        <v>395</v>
      </c>
      <c r="C46" s="888">
        <v>60</v>
      </c>
      <c r="D46" s="888" t="s">
        <v>32</v>
      </c>
      <c r="E46" s="888">
        <v>60</v>
      </c>
      <c r="F46" s="888" t="s">
        <v>32</v>
      </c>
      <c r="G46" s="888">
        <v>120</v>
      </c>
      <c r="H46" s="888">
        <f t="shared" si="0"/>
        <v>3</v>
      </c>
      <c r="I46" s="238"/>
      <c r="J46" s="254">
        <f t="shared" si="1"/>
        <v>60</v>
      </c>
      <c r="K46" s="255">
        <f t="shared" si="2"/>
        <v>-1</v>
      </c>
      <c r="L46" s="256">
        <f t="shared" si="3"/>
        <v>120</v>
      </c>
      <c r="M46" s="255" t="s">
        <v>32</v>
      </c>
      <c r="N46" s="256" t="s">
        <v>32</v>
      </c>
      <c r="P46" s="948">
        <v>0</v>
      </c>
      <c r="Q46" s="948">
        <v>0</v>
      </c>
    </row>
    <row r="47" spans="1:17">
      <c r="A47" s="224">
        <v>7</v>
      </c>
      <c r="B47" s="886" t="s">
        <v>396</v>
      </c>
      <c r="C47" s="888">
        <v>60</v>
      </c>
      <c r="D47" s="888" t="s">
        <v>32</v>
      </c>
      <c r="E47" s="888">
        <v>60</v>
      </c>
      <c r="F47" s="888" t="s">
        <v>32</v>
      </c>
      <c r="G47" s="888">
        <v>120</v>
      </c>
      <c r="H47" s="888">
        <f t="shared" si="0"/>
        <v>3</v>
      </c>
      <c r="I47" s="238"/>
      <c r="J47" s="254">
        <f t="shared" si="1"/>
        <v>60</v>
      </c>
      <c r="K47" s="255">
        <f t="shared" si="2"/>
        <v>-1</v>
      </c>
      <c r="L47" s="256">
        <f t="shared" si="3"/>
        <v>120</v>
      </c>
      <c r="M47" s="255" t="s">
        <v>32</v>
      </c>
      <c r="N47" s="256" t="s">
        <v>32</v>
      </c>
      <c r="P47" s="948">
        <v>0</v>
      </c>
      <c r="Q47" s="948">
        <v>0</v>
      </c>
    </row>
    <row r="48" spans="1:17">
      <c r="A48" s="224">
        <v>8</v>
      </c>
      <c r="B48" s="886" t="s">
        <v>530</v>
      </c>
      <c r="C48" s="888">
        <v>60</v>
      </c>
      <c r="D48" s="888" t="s">
        <v>32</v>
      </c>
      <c r="E48" s="888">
        <v>60</v>
      </c>
      <c r="F48" s="888" t="s">
        <v>32</v>
      </c>
      <c r="G48" s="888">
        <v>120</v>
      </c>
      <c r="H48" s="888">
        <f t="shared" si="0"/>
        <v>3</v>
      </c>
      <c r="I48" s="238"/>
      <c r="J48" s="254">
        <f t="shared" si="1"/>
        <v>60</v>
      </c>
      <c r="K48" s="255">
        <f t="shared" si="2"/>
        <v>-1</v>
      </c>
      <c r="L48" s="256">
        <f t="shared" si="3"/>
        <v>120</v>
      </c>
      <c r="M48" s="255" t="s">
        <v>32</v>
      </c>
      <c r="N48" s="256" t="s">
        <v>32</v>
      </c>
      <c r="P48" s="948">
        <v>0</v>
      </c>
      <c r="Q48" s="948">
        <v>0</v>
      </c>
    </row>
    <row r="49" spans="1:17">
      <c r="A49" s="224">
        <v>9</v>
      </c>
      <c r="B49" s="886" t="s">
        <v>1355</v>
      </c>
      <c r="C49" s="888">
        <v>60</v>
      </c>
      <c r="D49" s="888" t="s">
        <v>32</v>
      </c>
      <c r="E49" s="888">
        <v>60</v>
      </c>
      <c r="F49" s="888" t="s">
        <v>32</v>
      </c>
      <c r="G49" s="888">
        <v>120</v>
      </c>
      <c r="H49" s="888">
        <f t="shared" si="0"/>
        <v>3</v>
      </c>
      <c r="I49" s="238"/>
      <c r="J49" s="254">
        <f t="shared" si="1"/>
        <v>60</v>
      </c>
      <c r="K49" s="255">
        <f t="shared" si="2"/>
        <v>-1</v>
      </c>
      <c r="L49" s="256">
        <f t="shared" si="3"/>
        <v>120</v>
      </c>
      <c r="M49" s="255" t="s">
        <v>32</v>
      </c>
      <c r="N49" s="256" t="s">
        <v>32</v>
      </c>
      <c r="P49" s="948">
        <v>0</v>
      </c>
      <c r="Q49" s="948">
        <v>0</v>
      </c>
    </row>
    <row r="50" spans="1:17">
      <c r="A50" s="224">
        <v>10</v>
      </c>
      <c r="B50" s="886" t="s">
        <v>3753</v>
      </c>
      <c r="C50" s="888">
        <v>75</v>
      </c>
      <c r="D50" s="888" t="s">
        <v>32</v>
      </c>
      <c r="E50" s="888">
        <v>75</v>
      </c>
      <c r="F50" s="888" t="s">
        <v>32</v>
      </c>
      <c r="G50" s="888">
        <v>150</v>
      </c>
      <c r="H50" s="888">
        <f t="shared" si="0"/>
        <v>3</v>
      </c>
      <c r="I50" s="238"/>
      <c r="J50" s="254">
        <f t="shared" si="1"/>
        <v>75</v>
      </c>
      <c r="K50" s="255">
        <f t="shared" si="2"/>
        <v>-1</v>
      </c>
      <c r="L50" s="256">
        <f t="shared" si="3"/>
        <v>150</v>
      </c>
      <c r="M50" s="255" t="s">
        <v>32</v>
      </c>
      <c r="N50" s="256" t="s">
        <v>32</v>
      </c>
      <c r="P50" s="948">
        <v>0</v>
      </c>
      <c r="Q50" s="948">
        <v>0</v>
      </c>
    </row>
    <row r="51" spans="1:17">
      <c r="A51" s="224">
        <v>11</v>
      </c>
      <c r="B51" s="886" t="s">
        <v>2189</v>
      </c>
      <c r="C51" s="888">
        <v>60</v>
      </c>
      <c r="D51" s="888" t="s">
        <v>32</v>
      </c>
      <c r="E51" s="888">
        <v>60</v>
      </c>
      <c r="F51" s="888" t="s">
        <v>32</v>
      </c>
      <c r="G51" s="888">
        <v>120</v>
      </c>
      <c r="H51" s="888">
        <f t="shared" si="0"/>
        <v>3</v>
      </c>
      <c r="I51" s="238"/>
      <c r="J51" s="254">
        <f t="shared" si="1"/>
        <v>60</v>
      </c>
      <c r="K51" s="255">
        <f t="shared" si="2"/>
        <v>-1</v>
      </c>
      <c r="L51" s="256">
        <f t="shared" si="3"/>
        <v>120</v>
      </c>
      <c r="M51" s="255" t="s">
        <v>32</v>
      </c>
      <c r="N51" s="256" t="s">
        <v>32</v>
      </c>
      <c r="P51" s="948">
        <v>0</v>
      </c>
      <c r="Q51" s="948">
        <v>0</v>
      </c>
    </row>
    <row r="52" spans="1:17">
      <c r="A52" s="224">
        <v>12</v>
      </c>
      <c r="B52" s="886" t="s">
        <v>295</v>
      </c>
      <c r="C52" s="888">
        <v>60</v>
      </c>
      <c r="D52" s="888" t="s">
        <v>32</v>
      </c>
      <c r="E52" s="888">
        <v>60</v>
      </c>
      <c r="F52" s="888" t="s">
        <v>32</v>
      </c>
      <c r="G52" s="888">
        <v>120</v>
      </c>
      <c r="H52" s="888">
        <f t="shared" si="0"/>
        <v>3</v>
      </c>
      <c r="I52" s="238"/>
      <c r="J52" s="254">
        <f t="shared" si="1"/>
        <v>60</v>
      </c>
      <c r="K52" s="255">
        <f t="shared" si="2"/>
        <v>-1</v>
      </c>
      <c r="L52" s="256">
        <f t="shared" si="3"/>
        <v>120</v>
      </c>
      <c r="M52" s="255" t="s">
        <v>32</v>
      </c>
      <c r="N52" s="256" t="s">
        <v>32</v>
      </c>
      <c r="P52" s="948">
        <v>0</v>
      </c>
      <c r="Q52" s="948">
        <v>0</v>
      </c>
    </row>
    <row r="53" spans="1:17">
      <c r="A53" s="224">
        <v>13</v>
      </c>
      <c r="B53" s="886" t="s">
        <v>274</v>
      </c>
      <c r="C53" s="888">
        <v>40</v>
      </c>
      <c r="D53" s="888" t="s">
        <v>32</v>
      </c>
      <c r="E53" s="888">
        <v>35</v>
      </c>
      <c r="F53" s="888" t="s">
        <v>32</v>
      </c>
      <c r="G53" s="888">
        <v>75</v>
      </c>
      <c r="H53" s="888">
        <f t="shared" si="0"/>
        <v>3</v>
      </c>
      <c r="I53" s="238"/>
      <c r="J53" s="254">
        <f t="shared" si="1"/>
        <v>40</v>
      </c>
      <c r="K53" s="255">
        <f t="shared" si="2"/>
        <v>-1</v>
      </c>
      <c r="L53" s="256">
        <f t="shared" si="3"/>
        <v>75</v>
      </c>
      <c r="M53" s="255" t="s">
        <v>32</v>
      </c>
      <c r="N53" s="256" t="s">
        <v>32</v>
      </c>
      <c r="P53" s="948">
        <v>0</v>
      </c>
      <c r="Q53" s="948">
        <v>0</v>
      </c>
    </row>
    <row r="54" spans="1:17">
      <c r="A54" s="224">
        <v>14</v>
      </c>
      <c r="B54" s="886" t="s">
        <v>277</v>
      </c>
      <c r="C54" s="888">
        <v>75</v>
      </c>
      <c r="D54" s="888" t="s">
        <v>32</v>
      </c>
      <c r="E54" s="888">
        <v>75</v>
      </c>
      <c r="F54" s="888" t="s">
        <v>32</v>
      </c>
      <c r="G54" s="888">
        <v>150</v>
      </c>
      <c r="H54" s="888">
        <f t="shared" si="0"/>
        <v>3</v>
      </c>
      <c r="I54" s="238"/>
      <c r="J54" s="254">
        <f t="shared" si="1"/>
        <v>75</v>
      </c>
      <c r="K54" s="255">
        <f t="shared" si="2"/>
        <v>-1</v>
      </c>
      <c r="L54" s="256">
        <f t="shared" si="3"/>
        <v>150</v>
      </c>
      <c r="M54" s="255" t="s">
        <v>32</v>
      </c>
      <c r="N54" s="256" t="s">
        <v>32</v>
      </c>
      <c r="P54" s="948">
        <v>0</v>
      </c>
      <c r="Q54" s="948">
        <v>0</v>
      </c>
    </row>
    <row r="55" spans="1:17">
      <c r="A55" s="224">
        <v>15</v>
      </c>
      <c r="B55" s="886" t="s">
        <v>275</v>
      </c>
      <c r="C55" s="888">
        <v>80</v>
      </c>
      <c r="D55" s="888">
        <v>20</v>
      </c>
      <c r="E55" s="888">
        <v>60</v>
      </c>
      <c r="F55" s="888">
        <v>120</v>
      </c>
      <c r="G55" s="888">
        <v>130</v>
      </c>
      <c r="H55" s="888">
        <f t="shared" si="0"/>
        <v>1</v>
      </c>
      <c r="I55" s="238"/>
      <c r="J55" s="245">
        <f t="shared" si="1"/>
        <v>80</v>
      </c>
      <c r="K55" s="257">
        <f>(D55-C55)/(F55-E55)</f>
        <v>-1</v>
      </c>
      <c r="L55" s="258">
        <f>-(K55*E55-C55)</f>
        <v>140</v>
      </c>
      <c r="M55" s="257">
        <f>D55/(F55-G55)</f>
        <v>-2</v>
      </c>
      <c r="N55" s="258">
        <f>-(M55*F55-D55)</f>
        <v>260</v>
      </c>
      <c r="P55" s="948">
        <v>0</v>
      </c>
      <c r="Q55" s="948">
        <v>0</v>
      </c>
    </row>
    <row r="56" spans="1:17">
      <c r="A56" s="224">
        <v>16</v>
      </c>
      <c r="B56" s="886" t="s">
        <v>1366</v>
      </c>
      <c r="C56" s="888">
        <v>60</v>
      </c>
      <c r="D56" s="888">
        <v>20</v>
      </c>
      <c r="E56" s="888">
        <v>40</v>
      </c>
      <c r="F56" s="888">
        <v>80</v>
      </c>
      <c r="G56" s="888">
        <v>95</v>
      </c>
      <c r="H56" s="888">
        <f t="shared" si="0"/>
        <v>1</v>
      </c>
      <c r="I56" s="238"/>
      <c r="J56" s="245">
        <f t="shared" si="1"/>
        <v>60</v>
      </c>
      <c r="K56" s="257">
        <f>(D56-C56)/(F56-E56)</f>
        <v>-1</v>
      </c>
      <c r="L56" s="258">
        <f>-(K56*E56-C56)</f>
        <v>100</v>
      </c>
      <c r="M56" s="257">
        <f>D56/(F56-G56)</f>
        <v>-1.3333333333333333</v>
      </c>
      <c r="N56" s="258">
        <f>-(M56*F56-D56)</f>
        <v>126.66666666666666</v>
      </c>
      <c r="P56" s="948">
        <v>0</v>
      </c>
      <c r="Q56" s="948">
        <v>0</v>
      </c>
    </row>
    <row r="57" spans="1:17">
      <c r="A57" s="224">
        <v>17</v>
      </c>
      <c r="B57" s="886" t="s">
        <v>1178</v>
      </c>
      <c r="C57" s="888">
        <v>60</v>
      </c>
      <c r="D57" s="888">
        <v>20</v>
      </c>
      <c r="E57" s="888">
        <v>35</v>
      </c>
      <c r="F57" s="888">
        <v>75</v>
      </c>
      <c r="G57" s="888">
        <v>80</v>
      </c>
      <c r="H57" s="888">
        <f t="shared" si="0"/>
        <v>1</v>
      </c>
      <c r="I57" s="238"/>
      <c r="J57" s="245">
        <f t="shared" si="1"/>
        <v>60</v>
      </c>
      <c r="K57" s="257">
        <f>(D57-C57)/(F57-E57)</f>
        <v>-1</v>
      </c>
      <c r="L57" s="258">
        <f>-(K57*E57-C57)</f>
        <v>95</v>
      </c>
      <c r="M57" s="257">
        <f>D57/(F57-G57)</f>
        <v>-4</v>
      </c>
      <c r="N57" s="258">
        <f>-(M57*F57-D57)</f>
        <v>320</v>
      </c>
      <c r="P57" s="948">
        <v>0</v>
      </c>
      <c r="Q57" s="948">
        <v>0</v>
      </c>
    </row>
    <row r="58" spans="1:17">
      <c r="A58" s="224">
        <v>18</v>
      </c>
      <c r="B58" s="886" t="s">
        <v>1179</v>
      </c>
      <c r="C58" s="888">
        <v>70</v>
      </c>
      <c r="D58" s="888">
        <v>20</v>
      </c>
      <c r="E58" s="888">
        <v>50</v>
      </c>
      <c r="F58" s="888">
        <v>100</v>
      </c>
      <c r="G58" s="888">
        <v>105</v>
      </c>
      <c r="H58" s="888">
        <f t="shared" si="0"/>
        <v>1</v>
      </c>
      <c r="I58" s="238"/>
      <c r="J58" s="245">
        <f t="shared" si="1"/>
        <v>70</v>
      </c>
      <c r="K58" s="257">
        <f>(D58-C58)/(F58-E58)</f>
        <v>-1</v>
      </c>
      <c r="L58" s="258">
        <f>-(K58*E58-C58)</f>
        <v>120</v>
      </c>
      <c r="M58" s="257">
        <f>D58/(F58-G58)</f>
        <v>-4</v>
      </c>
      <c r="N58" s="258">
        <f>-(M58*F58-D58)</f>
        <v>420</v>
      </c>
      <c r="P58" s="948">
        <v>0</v>
      </c>
      <c r="Q58" s="948">
        <v>0</v>
      </c>
    </row>
    <row r="59" spans="1:17">
      <c r="A59" s="224">
        <v>19</v>
      </c>
      <c r="B59" s="886" t="s">
        <v>1180</v>
      </c>
      <c r="C59" s="888">
        <v>100</v>
      </c>
      <c r="D59" s="888">
        <v>20</v>
      </c>
      <c r="E59" s="888">
        <v>75</v>
      </c>
      <c r="F59" s="888">
        <v>155</v>
      </c>
      <c r="G59" s="888">
        <v>165</v>
      </c>
      <c r="H59" s="888">
        <f t="shared" si="0"/>
        <v>1</v>
      </c>
      <c r="I59" s="238"/>
      <c r="J59" s="245">
        <f t="shared" si="1"/>
        <v>100</v>
      </c>
      <c r="K59" s="257">
        <f>(D59-C59)/(F59-E59)</f>
        <v>-1</v>
      </c>
      <c r="L59" s="258">
        <f>-(K59*E59-C59)</f>
        <v>175</v>
      </c>
      <c r="M59" s="257">
        <f>D59/(F59-G59)</f>
        <v>-2</v>
      </c>
      <c r="N59" s="258">
        <f>-(M59*F59-D59)</f>
        <v>330</v>
      </c>
      <c r="P59" s="948">
        <v>0</v>
      </c>
      <c r="Q59" s="948">
        <v>0</v>
      </c>
    </row>
    <row r="60" spans="1:17">
      <c r="A60" s="224">
        <v>20</v>
      </c>
      <c r="B60" s="886" t="s">
        <v>1519</v>
      </c>
      <c r="C60" s="888">
        <v>10</v>
      </c>
      <c r="D60" s="888" t="s">
        <v>32</v>
      </c>
      <c r="E60" s="888">
        <v>40</v>
      </c>
      <c r="F60" s="888" t="s">
        <v>32</v>
      </c>
      <c r="G60" s="888">
        <v>45</v>
      </c>
      <c r="H60" s="888">
        <f t="shared" si="0"/>
        <v>3</v>
      </c>
      <c r="I60" s="238"/>
      <c r="J60" s="254">
        <f t="shared" si="1"/>
        <v>10</v>
      </c>
      <c r="K60" s="255">
        <f>C60/(E60-G60)</f>
        <v>-2</v>
      </c>
      <c r="L60" s="256">
        <f>C60-K60*E60</f>
        <v>90</v>
      </c>
      <c r="M60" s="255" t="s">
        <v>32</v>
      </c>
      <c r="N60" s="256" t="s">
        <v>32</v>
      </c>
      <c r="P60" s="948">
        <v>0</v>
      </c>
      <c r="Q60" s="948">
        <v>0</v>
      </c>
    </row>
    <row r="61" spans="1:17">
      <c r="A61" s="224">
        <v>21</v>
      </c>
      <c r="B61" s="886" t="s">
        <v>1520</v>
      </c>
      <c r="C61" s="888">
        <v>10</v>
      </c>
      <c r="D61" s="888" t="s">
        <v>32</v>
      </c>
      <c r="E61" s="888">
        <v>60</v>
      </c>
      <c r="F61" s="888" t="s">
        <v>32</v>
      </c>
      <c r="G61" s="888">
        <v>70</v>
      </c>
      <c r="H61" s="888">
        <f t="shared" si="0"/>
        <v>3</v>
      </c>
      <c r="I61" s="238"/>
      <c r="J61" s="254">
        <f t="shared" si="1"/>
        <v>10</v>
      </c>
      <c r="K61" s="255">
        <f>C61/(E61-G61)</f>
        <v>-1</v>
      </c>
      <c r="L61" s="256">
        <f>C61-K61*E61</f>
        <v>70</v>
      </c>
      <c r="M61" s="255" t="s">
        <v>32</v>
      </c>
      <c r="N61" s="256" t="s">
        <v>32</v>
      </c>
      <c r="P61" s="948">
        <v>0</v>
      </c>
      <c r="Q61" s="948">
        <v>0</v>
      </c>
    </row>
    <row r="62" spans="1:17">
      <c r="A62" s="224">
        <v>22</v>
      </c>
      <c r="B62" s="886" t="s">
        <v>3562</v>
      </c>
      <c r="C62" s="888">
        <v>32</v>
      </c>
      <c r="D62" s="888">
        <v>20</v>
      </c>
      <c r="E62" s="888">
        <v>0</v>
      </c>
      <c r="F62" s="888">
        <v>12</v>
      </c>
      <c r="G62" s="888">
        <v>12</v>
      </c>
      <c r="H62" s="888">
        <f t="shared" si="0"/>
        <v>2</v>
      </c>
      <c r="I62" s="238"/>
      <c r="J62" s="259">
        <f t="shared" si="1"/>
        <v>32</v>
      </c>
      <c r="K62" s="259">
        <f t="shared" ref="K62:K75" si="4">(D62-C62)/(F62-E62)</f>
        <v>-1</v>
      </c>
      <c r="L62" s="259">
        <f t="shared" ref="L62:L75" si="5">-(K62*E62-C62)</f>
        <v>32</v>
      </c>
      <c r="M62" s="259" t="s">
        <v>32</v>
      </c>
      <c r="N62" s="260" t="s">
        <v>32</v>
      </c>
      <c r="P62" s="948">
        <v>0</v>
      </c>
      <c r="Q62" s="948">
        <v>0</v>
      </c>
    </row>
    <row r="63" spans="1:17">
      <c r="A63" s="224">
        <v>23</v>
      </c>
      <c r="B63" s="886" t="s">
        <v>2232</v>
      </c>
      <c r="C63" s="888">
        <v>16</v>
      </c>
      <c r="D63" s="888">
        <v>12</v>
      </c>
      <c r="E63" s="888">
        <v>3</v>
      </c>
      <c r="F63" s="888">
        <v>6</v>
      </c>
      <c r="G63" s="888">
        <v>8.5</v>
      </c>
      <c r="H63" s="888">
        <f t="shared" si="0"/>
        <v>1</v>
      </c>
      <c r="I63" s="238"/>
      <c r="J63" s="245">
        <f t="shared" si="1"/>
        <v>16</v>
      </c>
      <c r="K63" s="257">
        <f t="shared" si="4"/>
        <v>-1.3333333333333333</v>
      </c>
      <c r="L63" s="258">
        <f t="shared" si="5"/>
        <v>20</v>
      </c>
      <c r="M63" s="257">
        <f>D63/(F63-G63)</f>
        <v>-4.8</v>
      </c>
      <c r="N63" s="258">
        <f>-(M63*F63-D63)</f>
        <v>40.799999999999997</v>
      </c>
      <c r="P63" s="948">
        <v>0</v>
      </c>
      <c r="Q63" s="948">
        <v>0</v>
      </c>
    </row>
    <row r="64" spans="1:17">
      <c r="A64" s="224">
        <v>24</v>
      </c>
      <c r="B64" s="886" t="s">
        <v>243</v>
      </c>
      <c r="C64" s="888">
        <v>27</v>
      </c>
      <c r="D64" s="888">
        <v>12</v>
      </c>
      <c r="E64" s="888">
        <v>8</v>
      </c>
      <c r="F64" s="888">
        <v>16</v>
      </c>
      <c r="G64" s="888">
        <v>17</v>
      </c>
      <c r="H64" s="888">
        <f t="shared" si="0"/>
        <v>1</v>
      </c>
      <c r="I64" s="238"/>
      <c r="J64" s="245">
        <f t="shared" si="1"/>
        <v>27</v>
      </c>
      <c r="K64" s="257">
        <f t="shared" si="4"/>
        <v>-1.875</v>
      </c>
      <c r="L64" s="258">
        <f t="shared" si="5"/>
        <v>42</v>
      </c>
      <c r="M64" s="257">
        <f>D64/(F64-G64)</f>
        <v>-12</v>
      </c>
      <c r="N64" s="258">
        <f>-(M64*F64-D64)</f>
        <v>204</v>
      </c>
      <c r="P64" s="948">
        <v>0</v>
      </c>
      <c r="Q64" s="948">
        <v>0</v>
      </c>
    </row>
    <row r="65" spans="1:17">
      <c r="A65" s="224">
        <v>25</v>
      </c>
      <c r="B65" s="886" t="s">
        <v>1630</v>
      </c>
      <c r="C65" s="888">
        <v>21</v>
      </c>
      <c r="D65" s="888">
        <v>12</v>
      </c>
      <c r="E65" s="888">
        <v>5</v>
      </c>
      <c r="F65" s="888">
        <v>10</v>
      </c>
      <c r="G65" s="888">
        <v>10</v>
      </c>
      <c r="H65" s="888">
        <f t="shared" si="0"/>
        <v>2</v>
      </c>
      <c r="I65" s="238"/>
      <c r="J65" s="259">
        <f t="shared" si="1"/>
        <v>21</v>
      </c>
      <c r="K65" s="259">
        <f t="shared" si="4"/>
        <v>-1.8</v>
      </c>
      <c r="L65" s="259">
        <f t="shared" si="5"/>
        <v>30</v>
      </c>
      <c r="M65" s="259" t="s">
        <v>32</v>
      </c>
      <c r="N65" s="260" t="s">
        <v>32</v>
      </c>
      <c r="P65" s="948">
        <v>0</v>
      </c>
      <c r="Q65" s="948">
        <v>0</v>
      </c>
    </row>
    <row r="66" spans="1:17">
      <c r="A66" s="224">
        <v>26</v>
      </c>
      <c r="B66" s="886" t="s">
        <v>2330</v>
      </c>
      <c r="C66" s="888">
        <v>105</v>
      </c>
      <c r="D66" s="888">
        <v>20</v>
      </c>
      <c r="E66" s="888">
        <v>65</v>
      </c>
      <c r="F66" s="888">
        <v>120</v>
      </c>
      <c r="G66" s="888">
        <v>130</v>
      </c>
      <c r="H66" s="888">
        <f t="shared" si="0"/>
        <v>1</v>
      </c>
      <c r="I66" s="238"/>
      <c r="J66" s="245">
        <f t="shared" si="1"/>
        <v>105</v>
      </c>
      <c r="K66" s="257">
        <f t="shared" si="4"/>
        <v>-1.5454545454545454</v>
      </c>
      <c r="L66" s="258">
        <f t="shared" si="5"/>
        <v>205.45454545454544</v>
      </c>
      <c r="M66" s="257">
        <f>D66/(F66-G66)</f>
        <v>-2</v>
      </c>
      <c r="N66" s="258">
        <f>-(M66*F66-D66)</f>
        <v>260</v>
      </c>
      <c r="P66" s="948">
        <v>0</v>
      </c>
      <c r="Q66" s="948">
        <v>0</v>
      </c>
    </row>
    <row r="67" spans="1:17">
      <c r="A67" s="224">
        <v>27</v>
      </c>
      <c r="B67" s="886" t="s">
        <v>2233</v>
      </c>
      <c r="C67" s="888">
        <v>165</v>
      </c>
      <c r="D67" s="888">
        <v>45</v>
      </c>
      <c r="E67" s="888">
        <v>80</v>
      </c>
      <c r="F67" s="888">
        <v>165</v>
      </c>
      <c r="G67" s="888">
        <v>180</v>
      </c>
      <c r="H67" s="888">
        <f t="shared" si="0"/>
        <v>1</v>
      </c>
      <c r="I67" s="238"/>
      <c r="J67" s="245">
        <f t="shared" si="1"/>
        <v>165</v>
      </c>
      <c r="K67" s="257">
        <f t="shared" si="4"/>
        <v>-1.411764705882353</v>
      </c>
      <c r="L67" s="258">
        <f t="shared" si="5"/>
        <v>277.94117647058823</v>
      </c>
      <c r="M67" s="257">
        <f>D67/(F67-G67)</f>
        <v>-3</v>
      </c>
      <c r="N67" s="258">
        <f>-(M67*F67-D67)</f>
        <v>540</v>
      </c>
      <c r="P67" s="948">
        <v>0</v>
      </c>
      <c r="Q67" s="948">
        <v>0</v>
      </c>
    </row>
    <row r="68" spans="1:17">
      <c r="A68" s="224">
        <v>28</v>
      </c>
      <c r="B68" s="886" t="s">
        <v>2626</v>
      </c>
      <c r="C68" s="888">
        <v>195</v>
      </c>
      <c r="D68" s="888">
        <v>20</v>
      </c>
      <c r="E68" s="888">
        <v>100</v>
      </c>
      <c r="F68" s="888">
        <v>200</v>
      </c>
      <c r="G68" s="888">
        <v>205</v>
      </c>
      <c r="H68" s="888">
        <f t="shared" si="0"/>
        <v>1</v>
      </c>
      <c r="I68" s="238"/>
      <c r="J68" s="245">
        <f t="shared" si="1"/>
        <v>195</v>
      </c>
      <c r="K68" s="257">
        <f t="shared" si="4"/>
        <v>-1.75</v>
      </c>
      <c r="L68" s="258">
        <f t="shared" si="5"/>
        <v>370</v>
      </c>
      <c r="M68" s="257">
        <f>D68/(F68-G68)</f>
        <v>-4</v>
      </c>
      <c r="N68" s="258">
        <f>-(M68*F68-D68)</f>
        <v>820</v>
      </c>
      <c r="P68" s="948">
        <v>0</v>
      </c>
      <c r="Q68" s="948">
        <v>0</v>
      </c>
    </row>
    <row r="69" spans="1:17">
      <c r="A69" s="224">
        <v>29</v>
      </c>
      <c r="B69" s="886" t="s">
        <v>2627</v>
      </c>
      <c r="C69" s="888">
        <v>120</v>
      </c>
      <c r="D69" s="888">
        <v>20</v>
      </c>
      <c r="E69" s="888">
        <v>65</v>
      </c>
      <c r="F69" s="888">
        <v>120</v>
      </c>
      <c r="G69" s="888">
        <v>130</v>
      </c>
      <c r="H69" s="888">
        <f t="shared" si="0"/>
        <v>1</v>
      </c>
      <c r="I69" s="238"/>
      <c r="J69" s="245">
        <f t="shared" si="1"/>
        <v>120</v>
      </c>
      <c r="K69" s="257">
        <f t="shared" si="4"/>
        <v>-1.8181818181818181</v>
      </c>
      <c r="L69" s="258">
        <f t="shared" si="5"/>
        <v>238.18181818181819</v>
      </c>
      <c r="M69" s="257">
        <f>D69/(F69-G69)</f>
        <v>-2</v>
      </c>
      <c r="N69" s="258">
        <f>-(M69*F69-D69)</f>
        <v>260</v>
      </c>
      <c r="P69" s="948">
        <v>0</v>
      </c>
      <c r="Q69" s="948">
        <v>0</v>
      </c>
    </row>
    <row r="70" spans="1:17">
      <c r="A70" s="224">
        <v>30</v>
      </c>
      <c r="B70" s="886" t="s">
        <v>3776</v>
      </c>
      <c r="C70" s="888">
        <v>170</v>
      </c>
      <c r="D70" s="888">
        <v>20</v>
      </c>
      <c r="E70" s="888">
        <v>80</v>
      </c>
      <c r="F70" s="888">
        <v>165</v>
      </c>
      <c r="G70" s="888">
        <v>165</v>
      </c>
      <c r="H70" s="888">
        <f t="shared" si="0"/>
        <v>2</v>
      </c>
      <c r="I70" s="238"/>
      <c r="J70" s="259">
        <f t="shared" si="1"/>
        <v>170</v>
      </c>
      <c r="K70" s="259">
        <f t="shared" si="4"/>
        <v>-1.7647058823529411</v>
      </c>
      <c r="L70" s="259">
        <f t="shared" si="5"/>
        <v>311.1764705882353</v>
      </c>
      <c r="M70" s="259" t="s">
        <v>32</v>
      </c>
      <c r="N70" s="260" t="s">
        <v>32</v>
      </c>
      <c r="P70" s="948">
        <v>0</v>
      </c>
      <c r="Q70" s="948">
        <v>0</v>
      </c>
    </row>
    <row r="71" spans="1:17">
      <c r="A71" s="224">
        <v>31</v>
      </c>
      <c r="B71" s="886" t="s">
        <v>3624</v>
      </c>
      <c r="C71" s="888">
        <v>90</v>
      </c>
      <c r="D71" s="888">
        <v>40</v>
      </c>
      <c r="E71" s="888">
        <v>40</v>
      </c>
      <c r="F71" s="888">
        <v>80</v>
      </c>
      <c r="G71" s="888">
        <v>100</v>
      </c>
      <c r="H71" s="888">
        <f t="shared" si="0"/>
        <v>1</v>
      </c>
      <c r="I71" s="238"/>
      <c r="J71" s="245">
        <f t="shared" si="1"/>
        <v>90</v>
      </c>
      <c r="K71" s="257">
        <f t="shared" si="4"/>
        <v>-1.25</v>
      </c>
      <c r="L71" s="258">
        <f t="shared" si="5"/>
        <v>140</v>
      </c>
      <c r="M71" s="257">
        <f>D71/(F71-G71)</f>
        <v>-2</v>
      </c>
      <c r="N71" s="258">
        <f>-(M71*F71-D71)</f>
        <v>200</v>
      </c>
      <c r="P71" s="948">
        <v>0</v>
      </c>
      <c r="Q71" s="948">
        <v>0</v>
      </c>
    </row>
    <row r="72" spans="1:17">
      <c r="A72" s="224">
        <v>32</v>
      </c>
      <c r="B72" s="886" t="s">
        <v>3625</v>
      </c>
      <c r="C72" s="888">
        <v>125</v>
      </c>
      <c r="D72" s="888">
        <v>20</v>
      </c>
      <c r="E72" s="888">
        <v>60</v>
      </c>
      <c r="F72" s="888">
        <v>125</v>
      </c>
      <c r="G72" s="888">
        <v>130</v>
      </c>
      <c r="H72" s="888">
        <f t="shared" si="0"/>
        <v>1</v>
      </c>
      <c r="I72" s="238"/>
      <c r="J72" s="245">
        <f t="shared" si="1"/>
        <v>125</v>
      </c>
      <c r="K72" s="257">
        <f t="shared" si="4"/>
        <v>-1.6153846153846154</v>
      </c>
      <c r="L72" s="258">
        <f t="shared" si="5"/>
        <v>221.92307692307691</v>
      </c>
      <c r="M72" s="257">
        <f>D72/(F72-G72)</f>
        <v>-4</v>
      </c>
      <c r="N72" s="258">
        <f>-(M72*F72-D72)</f>
        <v>520</v>
      </c>
      <c r="P72" s="948">
        <v>0</v>
      </c>
      <c r="Q72" s="948">
        <v>0</v>
      </c>
    </row>
    <row r="73" spans="1:17">
      <c r="A73" s="224">
        <v>33</v>
      </c>
      <c r="B73" s="886" t="s">
        <v>3626</v>
      </c>
      <c r="C73" s="888">
        <v>120</v>
      </c>
      <c r="D73" s="888">
        <v>20</v>
      </c>
      <c r="E73" s="888">
        <v>65</v>
      </c>
      <c r="F73" s="888">
        <v>130</v>
      </c>
      <c r="G73" s="888">
        <v>135</v>
      </c>
      <c r="H73" s="888">
        <f t="shared" ref="H73:H112" si="6">IF((D73=$H$39),3,(IF((F73=G73),2,1)))</f>
        <v>1</v>
      </c>
      <c r="I73" s="238"/>
      <c r="J73" s="245">
        <f t="shared" ref="J73:J91" si="7">C73</f>
        <v>120</v>
      </c>
      <c r="K73" s="257">
        <f t="shared" si="4"/>
        <v>-1.5384615384615385</v>
      </c>
      <c r="L73" s="258">
        <f t="shared" si="5"/>
        <v>220</v>
      </c>
      <c r="M73" s="257">
        <f>D73/(F73-G73)</f>
        <v>-4</v>
      </c>
      <c r="N73" s="258">
        <f>-(M73*F73-D73)</f>
        <v>540</v>
      </c>
      <c r="P73" s="948">
        <v>0</v>
      </c>
      <c r="Q73" s="948">
        <v>0</v>
      </c>
    </row>
    <row r="74" spans="1:17">
      <c r="A74" s="224">
        <v>34</v>
      </c>
      <c r="B74" s="886" t="s">
        <v>3651</v>
      </c>
      <c r="C74" s="888">
        <v>130</v>
      </c>
      <c r="D74" s="888">
        <v>25</v>
      </c>
      <c r="E74" s="888">
        <v>80</v>
      </c>
      <c r="F74" s="888">
        <v>165</v>
      </c>
      <c r="G74" s="888">
        <v>175</v>
      </c>
      <c r="H74" s="888">
        <f t="shared" si="6"/>
        <v>1</v>
      </c>
      <c r="I74" s="238"/>
      <c r="J74" s="245">
        <f t="shared" si="7"/>
        <v>130</v>
      </c>
      <c r="K74" s="257">
        <f t="shared" si="4"/>
        <v>-1.2352941176470589</v>
      </c>
      <c r="L74" s="258">
        <f t="shared" si="5"/>
        <v>228.8235294117647</v>
      </c>
      <c r="M74" s="257">
        <f>D74/(F74-G74)</f>
        <v>-2.5</v>
      </c>
      <c r="N74" s="258">
        <f>-(M74*F74-D74)</f>
        <v>437.5</v>
      </c>
      <c r="P74" s="948">
        <v>0</v>
      </c>
      <c r="Q74" s="948">
        <v>0</v>
      </c>
    </row>
    <row r="75" spans="1:17">
      <c r="A75" s="224">
        <v>35</v>
      </c>
      <c r="B75" s="886" t="s">
        <v>684</v>
      </c>
      <c r="C75" s="888">
        <v>130</v>
      </c>
      <c r="D75" s="888">
        <v>25</v>
      </c>
      <c r="E75" s="888">
        <v>80</v>
      </c>
      <c r="F75" s="888">
        <v>165</v>
      </c>
      <c r="G75" s="888">
        <v>175</v>
      </c>
      <c r="H75" s="888">
        <f t="shared" si="6"/>
        <v>1</v>
      </c>
      <c r="I75" s="238"/>
      <c r="J75" s="245">
        <f t="shared" si="7"/>
        <v>130</v>
      </c>
      <c r="K75" s="257">
        <f t="shared" si="4"/>
        <v>-1.2352941176470589</v>
      </c>
      <c r="L75" s="258">
        <f t="shared" si="5"/>
        <v>228.8235294117647</v>
      </c>
      <c r="M75" s="257">
        <f>D75/(F75-G75)</f>
        <v>-2.5</v>
      </c>
      <c r="N75" s="258">
        <f>-(M75*F75-D75)</f>
        <v>437.5</v>
      </c>
      <c r="P75" s="948">
        <v>0</v>
      </c>
      <c r="Q75" s="948">
        <v>0</v>
      </c>
    </row>
    <row r="76" spans="1:17">
      <c r="A76" s="224">
        <v>36</v>
      </c>
      <c r="B76" s="886" t="s">
        <v>2851</v>
      </c>
      <c r="C76" s="888">
        <v>200</v>
      </c>
      <c r="D76" s="888" t="s">
        <v>32</v>
      </c>
      <c r="E76" s="888">
        <v>200</v>
      </c>
      <c r="F76" s="888" t="s">
        <v>32</v>
      </c>
      <c r="G76" s="888">
        <v>400</v>
      </c>
      <c r="H76" s="888">
        <f t="shared" si="6"/>
        <v>3</v>
      </c>
      <c r="I76" s="238"/>
      <c r="J76" s="254">
        <f t="shared" si="7"/>
        <v>200</v>
      </c>
      <c r="K76" s="255">
        <f t="shared" ref="K76:K82" si="8">C76/(E76-G76)</f>
        <v>-1</v>
      </c>
      <c r="L76" s="256">
        <f t="shared" ref="L76:L82" si="9">C76-K76*E76</f>
        <v>400</v>
      </c>
      <c r="M76" s="255" t="s">
        <v>32</v>
      </c>
      <c r="N76" s="256" t="s">
        <v>32</v>
      </c>
      <c r="P76" s="948">
        <v>0</v>
      </c>
      <c r="Q76" s="948">
        <v>0</v>
      </c>
    </row>
    <row r="77" spans="1:17">
      <c r="A77" s="224">
        <v>37</v>
      </c>
      <c r="B77" s="886" t="s">
        <v>824</v>
      </c>
      <c r="C77" s="888">
        <v>110</v>
      </c>
      <c r="D77" s="888" t="s">
        <v>32</v>
      </c>
      <c r="E77" s="888">
        <v>110</v>
      </c>
      <c r="F77" s="888" t="s">
        <v>32</v>
      </c>
      <c r="G77" s="888">
        <v>220</v>
      </c>
      <c r="H77" s="888">
        <f t="shared" si="6"/>
        <v>3</v>
      </c>
      <c r="I77" s="238"/>
      <c r="J77" s="254">
        <f t="shared" si="7"/>
        <v>110</v>
      </c>
      <c r="K77" s="255">
        <f t="shared" si="8"/>
        <v>-1</v>
      </c>
      <c r="L77" s="256">
        <f t="shared" si="9"/>
        <v>220</v>
      </c>
      <c r="M77" s="255" t="s">
        <v>32</v>
      </c>
      <c r="N77" s="256" t="s">
        <v>32</v>
      </c>
      <c r="P77" s="948">
        <v>0</v>
      </c>
      <c r="Q77" s="948">
        <v>0</v>
      </c>
    </row>
    <row r="78" spans="1:17">
      <c r="A78" s="224">
        <v>38</v>
      </c>
      <c r="B78" s="886" t="s">
        <v>306</v>
      </c>
      <c r="C78" s="888">
        <v>100</v>
      </c>
      <c r="D78" s="888" t="s">
        <v>32</v>
      </c>
      <c r="E78" s="888">
        <v>100</v>
      </c>
      <c r="F78" s="888" t="s">
        <v>32</v>
      </c>
      <c r="G78" s="888">
        <v>200</v>
      </c>
      <c r="H78" s="888">
        <f t="shared" si="6"/>
        <v>3</v>
      </c>
      <c r="I78" s="238"/>
      <c r="J78" s="254">
        <f t="shared" si="7"/>
        <v>100</v>
      </c>
      <c r="K78" s="255">
        <f t="shared" si="8"/>
        <v>-1</v>
      </c>
      <c r="L78" s="256">
        <f t="shared" si="9"/>
        <v>200</v>
      </c>
      <c r="M78" s="255" t="s">
        <v>32</v>
      </c>
      <c r="N78" s="256" t="s">
        <v>32</v>
      </c>
      <c r="P78" s="948">
        <v>0</v>
      </c>
      <c r="Q78" s="948">
        <v>0</v>
      </c>
    </row>
    <row r="79" spans="1:17">
      <c r="A79" s="224">
        <v>39</v>
      </c>
      <c r="B79" s="886" t="s">
        <v>1631</v>
      </c>
      <c r="C79" s="888">
        <v>15</v>
      </c>
      <c r="D79" s="888" t="s">
        <v>32</v>
      </c>
      <c r="E79" s="888">
        <v>0</v>
      </c>
      <c r="F79" s="888" t="s">
        <v>32</v>
      </c>
      <c r="G79" s="888">
        <v>15</v>
      </c>
      <c r="H79" s="888">
        <f t="shared" si="6"/>
        <v>3</v>
      </c>
      <c r="I79" s="238"/>
      <c r="J79" s="254">
        <f t="shared" si="7"/>
        <v>15</v>
      </c>
      <c r="K79" s="255">
        <f t="shared" si="8"/>
        <v>-1</v>
      </c>
      <c r="L79" s="256">
        <f t="shared" si="9"/>
        <v>15</v>
      </c>
      <c r="M79" s="255" t="s">
        <v>32</v>
      </c>
      <c r="N79" s="256" t="s">
        <v>32</v>
      </c>
      <c r="P79" s="948">
        <v>0</v>
      </c>
      <c r="Q79" s="948">
        <v>0</v>
      </c>
    </row>
    <row r="80" spans="1:17">
      <c r="A80" s="224">
        <v>40</v>
      </c>
      <c r="B80" s="886" t="s">
        <v>1632</v>
      </c>
      <c r="C80" s="888">
        <v>5</v>
      </c>
      <c r="D80" s="888" t="s">
        <v>32</v>
      </c>
      <c r="E80" s="888">
        <v>0</v>
      </c>
      <c r="F80" s="888" t="s">
        <v>32</v>
      </c>
      <c r="G80" s="888">
        <v>5</v>
      </c>
      <c r="H80" s="888">
        <f t="shared" si="6"/>
        <v>3</v>
      </c>
      <c r="I80" s="238"/>
      <c r="J80" s="254">
        <f t="shared" si="7"/>
        <v>5</v>
      </c>
      <c r="K80" s="255">
        <f t="shared" si="8"/>
        <v>-1</v>
      </c>
      <c r="L80" s="256">
        <f t="shared" si="9"/>
        <v>5</v>
      </c>
      <c r="M80" s="255" t="s">
        <v>32</v>
      </c>
      <c r="N80" s="256" t="s">
        <v>32</v>
      </c>
      <c r="P80" s="948">
        <v>0</v>
      </c>
      <c r="Q80" s="948">
        <v>0</v>
      </c>
    </row>
    <row r="81" spans="1:17">
      <c r="A81" s="224">
        <v>41</v>
      </c>
      <c r="B81" s="886" t="s">
        <v>1633</v>
      </c>
      <c r="C81" s="888">
        <v>2</v>
      </c>
      <c r="D81" s="888" t="s">
        <v>32</v>
      </c>
      <c r="E81" s="888">
        <v>1</v>
      </c>
      <c r="F81" s="888" t="s">
        <v>32</v>
      </c>
      <c r="G81" s="888">
        <v>3</v>
      </c>
      <c r="H81" s="888">
        <f t="shared" si="6"/>
        <v>3</v>
      </c>
      <c r="I81" s="238"/>
      <c r="J81" s="254">
        <f t="shared" si="7"/>
        <v>2</v>
      </c>
      <c r="K81" s="255">
        <f t="shared" si="8"/>
        <v>-1</v>
      </c>
      <c r="L81" s="256">
        <f t="shared" si="9"/>
        <v>3</v>
      </c>
      <c r="M81" s="255" t="s">
        <v>32</v>
      </c>
      <c r="N81" s="256" t="s">
        <v>32</v>
      </c>
      <c r="P81" s="948">
        <v>0</v>
      </c>
      <c r="Q81" s="948">
        <v>0</v>
      </c>
    </row>
    <row r="82" spans="1:17">
      <c r="A82" s="224">
        <v>42</v>
      </c>
      <c r="B82" s="886" t="s">
        <v>2852</v>
      </c>
      <c r="C82" s="888">
        <v>2</v>
      </c>
      <c r="D82" s="888" t="s">
        <v>32</v>
      </c>
      <c r="E82" s="888">
        <v>1</v>
      </c>
      <c r="F82" s="888" t="s">
        <v>32</v>
      </c>
      <c r="G82" s="888">
        <v>3</v>
      </c>
      <c r="H82" s="888">
        <f t="shared" si="6"/>
        <v>3</v>
      </c>
      <c r="I82" s="238"/>
      <c r="J82" s="254">
        <f t="shared" si="7"/>
        <v>2</v>
      </c>
      <c r="K82" s="255">
        <f t="shared" si="8"/>
        <v>-1</v>
      </c>
      <c r="L82" s="256">
        <f t="shared" si="9"/>
        <v>3</v>
      </c>
      <c r="M82" s="255" t="s">
        <v>32</v>
      </c>
      <c r="N82" s="256" t="s">
        <v>32</v>
      </c>
      <c r="P82" s="948">
        <v>0</v>
      </c>
      <c r="Q82" s="948">
        <v>0</v>
      </c>
    </row>
    <row r="83" spans="1:17">
      <c r="A83" s="372">
        <v>43</v>
      </c>
      <c r="B83" s="886" t="s">
        <v>1547</v>
      </c>
      <c r="C83" s="888">
        <v>110</v>
      </c>
      <c r="D83" s="888">
        <v>20</v>
      </c>
      <c r="E83" s="888">
        <v>85</v>
      </c>
      <c r="F83" s="888">
        <v>175</v>
      </c>
      <c r="G83" s="888">
        <v>185</v>
      </c>
      <c r="H83" s="888">
        <f>IF((D83=$H$39),3,(IF((F83=G83),2,1)))</f>
        <v>1</v>
      </c>
      <c r="J83" s="245">
        <f>C83</f>
        <v>110</v>
      </c>
      <c r="K83" s="257">
        <f>(D83-C83)/(F83-E83)</f>
        <v>-1</v>
      </c>
      <c r="L83" s="258">
        <f>-(K83*E83-C83)</f>
        <v>195</v>
      </c>
      <c r="M83" s="257">
        <f>D83/(F83-G83)</f>
        <v>-2</v>
      </c>
      <c r="N83" s="258">
        <f>-(M83*F83-D83)</f>
        <v>370</v>
      </c>
      <c r="P83" s="948">
        <v>0</v>
      </c>
      <c r="Q83" s="948">
        <v>0</v>
      </c>
    </row>
    <row r="84" spans="1:17">
      <c r="A84" s="372">
        <v>44</v>
      </c>
      <c r="B84" s="892" t="s">
        <v>160</v>
      </c>
      <c r="C84" s="887">
        <v>4</v>
      </c>
      <c r="D84" s="887" t="s">
        <v>32</v>
      </c>
      <c r="E84" s="887">
        <v>1</v>
      </c>
      <c r="F84" s="887" t="s">
        <v>32</v>
      </c>
      <c r="G84" s="887">
        <v>5</v>
      </c>
      <c r="H84" s="888">
        <f>IF((D84=$H$39),3,(IF((F84=G84),2,1)))</f>
        <v>3</v>
      </c>
      <c r="J84" s="254">
        <f>C84</f>
        <v>4</v>
      </c>
      <c r="K84" s="255">
        <f>C84/(E84-G84)</f>
        <v>-1</v>
      </c>
      <c r="L84" s="256">
        <f>C84-K84*E84</f>
        <v>5</v>
      </c>
      <c r="M84" s="255" t="s">
        <v>32</v>
      </c>
      <c r="N84" s="256" t="s">
        <v>32</v>
      </c>
      <c r="P84" s="948">
        <v>0</v>
      </c>
      <c r="Q84" s="948">
        <v>0</v>
      </c>
    </row>
    <row r="85" spans="1:17">
      <c r="A85" s="372">
        <v>45</v>
      </c>
      <c r="B85" s="886" t="s">
        <v>3091</v>
      </c>
      <c r="C85" s="888">
        <v>2</v>
      </c>
      <c r="D85" s="888" t="s">
        <v>32</v>
      </c>
      <c r="E85" s="888">
        <v>1</v>
      </c>
      <c r="F85" s="888" t="s">
        <v>32</v>
      </c>
      <c r="G85" s="888">
        <v>3</v>
      </c>
      <c r="H85" s="888">
        <f>IF((D85=$H$39),3,(IF((F85=G85),2,1)))</f>
        <v>3</v>
      </c>
      <c r="J85" s="254">
        <f>C85</f>
        <v>2</v>
      </c>
      <c r="K85" s="255">
        <f>C85/(E85-G85)</f>
        <v>-1</v>
      </c>
      <c r="L85" s="256">
        <f>C85-K85*E85</f>
        <v>3</v>
      </c>
      <c r="M85" s="255" t="s">
        <v>32</v>
      </c>
      <c r="N85" s="256" t="s">
        <v>32</v>
      </c>
      <c r="P85" s="948">
        <v>0</v>
      </c>
      <c r="Q85" s="948">
        <v>0</v>
      </c>
    </row>
    <row r="86" spans="1:17">
      <c r="A86" s="372">
        <v>46</v>
      </c>
      <c r="B86" s="892" t="s">
        <v>796</v>
      </c>
      <c r="C86" s="887" t="s">
        <v>347</v>
      </c>
      <c r="D86" s="887" t="s">
        <v>32</v>
      </c>
      <c r="E86" s="887" t="s">
        <v>347</v>
      </c>
      <c r="F86" s="887" t="s">
        <v>32</v>
      </c>
      <c r="G86" s="887" t="s">
        <v>347</v>
      </c>
      <c r="H86" s="888" t="s">
        <v>347</v>
      </c>
      <c r="J86" s="254" t="str">
        <f>C86</f>
        <v>-</v>
      </c>
      <c r="K86" s="255" t="e">
        <f>C86/(E86-G86)</f>
        <v>#VALUE!</v>
      </c>
      <c r="L86" s="256" t="e">
        <f>C86-K86*E86</f>
        <v>#VALUE!</v>
      </c>
      <c r="M86" s="255" t="s">
        <v>32</v>
      </c>
      <c r="N86" s="256" t="s">
        <v>32</v>
      </c>
      <c r="P86" s="948" t="s">
        <v>936</v>
      </c>
      <c r="Q86" s="948" t="s">
        <v>936</v>
      </c>
    </row>
    <row r="87" spans="1:17">
      <c r="A87" s="372">
        <v>47</v>
      </c>
      <c r="B87" s="886" t="s">
        <v>1825</v>
      </c>
      <c r="C87" s="888">
        <v>10</v>
      </c>
      <c r="D87" s="888" t="s">
        <v>32</v>
      </c>
      <c r="E87" s="888">
        <v>40</v>
      </c>
      <c r="F87" s="888" t="s">
        <v>32</v>
      </c>
      <c r="G87" s="888">
        <v>45</v>
      </c>
      <c r="H87" s="888">
        <f>IF((D87=$H$39),3,(IF((F87=G87),2,1)))</f>
        <v>3</v>
      </c>
      <c r="I87" s="238"/>
      <c r="J87" s="254">
        <f>C87</f>
        <v>10</v>
      </c>
      <c r="K87" s="255">
        <f>C87/(E87-G87)</f>
        <v>-2</v>
      </c>
      <c r="L87" s="256">
        <f>C87-K87*E87</f>
        <v>90</v>
      </c>
      <c r="M87" s="255" t="s">
        <v>32</v>
      </c>
      <c r="N87" s="256" t="s">
        <v>32</v>
      </c>
      <c r="P87" s="948">
        <v>0</v>
      </c>
      <c r="Q87" s="948">
        <v>0</v>
      </c>
    </row>
    <row r="88" spans="1:17">
      <c r="A88" s="372">
        <v>101</v>
      </c>
      <c r="B88" s="886" t="s">
        <v>1922</v>
      </c>
      <c r="C88" s="888">
        <v>140</v>
      </c>
      <c r="D88" s="888">
        <v>25</v>
      </c>
      <c r="E88" s="888">
        <v>80</v>
      </c>
      <c r="F88" s="888">
        <v>165</v>
      </c>
      <c r="G88" s="888">
        <v>175</v>
      </c>
      <c r="H88" s="888">
        <f t="shared" si="6"/>
        <v>1</v>
      </c>
      <c r="I88" s="238"/>
      <c r="J88" s="245">
        <f t="shared" si="7"/>
        <v>140</v>
      </c>
      <c r="K88" s="257">
        <f>(D88-C88)/(F88-E88)</f>
        <v>-1.3529411764705883</v>
      </c>
      <c r="L88" s="258">
        <f>-(K88*E88-C88)</f>
        <v>248.23529411764707</v>
      </c>
      <c r="M88" s="257">
        <f>D88/(F88-G88)</f>
        <v>-2.5</v>
      </c>
      <c r="N88" s="258">
        <f>-(M88*F88-D88)</f>
        <v>437.5</v>
      </c>
      <c r="P88" s="948">
        <v>0</v>
      </c>
      <c r="Q88" s="948">
        <v>0</v>
      </c>
    </row>
    <row r="89" spans="1:17">
      <c r="A89" s="372">
        <v>102</v>
      </c>
      <c r="B89" s="886" t="s">
        <v>548</v>
      </c>
      <c r="C89" s="888">
        <v>160</v>
      </c>
      <c r="D89" s="888">
        <v>25</v>
      </c>
      <c r="E89" s="888">
        <v>100</v>
      </c>
      <c r="F89" s="888">
        <v>200</v>
      </c>
      <c r="G89" s="888">
        <v>210</v>
      </c>
      <c r="H89" s="888">
        <f t="shared" si="6"/>
        <v>1</v>
      </c>
      <c r="I89" s="238"/>
      <c r="J89" s="245">
        <f t="shared" si="7"/>
        <v>160</v>
      </c>
      <c r="K89" s="257">
        <f>(D89-C89)/(F89-E89)</f>
        <v>-1.35</v>
      </c>
      <c r="L89" s="258">
        <f>-(K89*E89-C89)</f>
        <v>295</v>
      </c>
      <c r="M89" s="257">
        <f>D89/(F89-G89)</f>
        <v>-2.5</v>
      </c>
      <c r="N89" s="258">
        <f>-(M89*F89-D89)</f>
        <v>525</v>
      </c>
      <c r="P89" s="948">
        <v>0</v>
      </c>
      <c r="Q89" s="948">
        <v>0</v>
      </c>
    </row>
    <row r="90" spans="1:17">
      <c r="A90" s="224">
        <v>103</v>
      </c>
      <c r="B90" s="886" t="s">
        <v>2629</v>
      </c>
      <c r="C90" s="888">
        <v>10</v>
      </c>
      <c r="D90" s="888" t="s">
        <v>32</v>
      </c>
      <c r="E90" s="888">
        <v>40</v>
      </c>
      <c r="F90" s="888" t="s">
        <v>32</v>
      </c>
      <c r="G90" s="888">
        <v>45</v>
      </c>
      <c r="H90" s="888">
        <f t="shared" si="6"/>
        <v>3</v>
      </c>
      <c r="I90" s="238"/>
      <c r="J90" s="254">
        <f t="shared" si="7"/>
        <v>10</v>
      </c>
      <c r="K90" s="255">
        <f>C90/(E90-G90)</f>
        <v>-2</v>
      </c>
      <c r="L90" s="256">
        <f>C90-K90*E90</f>
        <v>90</v>
      </c>
      <c r="M90" s="255" t="s">
        <v>32</v>
      </c>
      <c r="N90" s="256" t="s">
        <v>32</v>
      </c>
      <c r="P90" s="948">
        <v>0</v>
      </c>
      <c r="Q90" s="948">
        <v>0</v>
      </c>
    </row>
    <row r="91" spans="1:17">
      <c r="A91" s="224">
        <v>104</v>
      </c>
      <c r="B91" s="886" t="s">
        <v>1372</v>
      </c>
      <c r="C91" s="888">
        <v>10</v>
      </c>
      <c r="D91" s="888" t="s">
        <v>32</v>
      </c>
      <c r="E91" s="888">
        <v>40</v>
      </c>
      <c r="F91" s="888" t="s">
        <v>32</v>
      </c>
      <c r="G91" s="888">
        <v>45</v>
      </c>
      <c r="H91" s="888">
        <f t="shared" si="6"/>
        <v>3</v>
      </c>
      <c r="I91" s="238"/>
      <c r="J91" s="254">
        <f t="shared" si="7"/>
        <v>10</v>
      </c>
      <c r="K91" s="255">
        <f>C91/(E91-G91)</f>
        <v>-2</v>
      </c>
      <c r="L91" s="256">
        <f>C91-K91*E91</f>
        <v>90</v>
      </c>
      <c r="M91" s="255" t="s">
        <v>32</v>
      </c>
      <c r="N91" s="256" t="s">
        <v>32</v>
      </c>
      <c r="P91" s="948">
        <v>0</v>
      </c>
      <c r="Q91" s="948">
        <v>0</v>
      </c>
    </row>
    <row r="92" spans="1:17">
      <c r="A92" s="224">
        <v>105</v>
      </c>
      <c r="B92" s="886" t="s">
        <v>3847</v>
      </c>
      <c r="C92" s="888">
        <v>130</v>
      </c>
      <c r="D92" s="888">
        <v>25</v>
      </c>
      <c r="E92" s="888">
        <v>80</v>
      </c>
      <c r="F92" s="888">
        <v>165</v>
      </c>
      <c r="G92" s="888">
        <v>175</v>
      </c>
      <c r="H92" s="888">
        <f t="shared" si="6"/>
        <v>1</v>
      </c>
      <c r="I92" s="238"/>
      <c r="J92" s="245">
        <f t="shared" ref="J92:J129" si="10">C92</f>
        <v>130</v>
      </c>
      <c r="K92" s="257">
        <f>(D92-C92)/(F92-E92)</f>
        <v>-1.2352941176470589</v>
      </c>
      <c r="L92" s="258">
        <f>-(K92*E92-C92)</f>
        <v>228.8235294117647</v>
      </c>
      <c r="M92" s="257">
        <f>D92/(F92-G92)</f>
        <v>-2.5</v>
      </c>
      <c r="N92" s="258">
        <f>-(M92*F92-D92)</f>
        <v>437.5</v>
      </c>
      <c r="P92" s="948">
        <v>0</v>
      </c>
      <c r="Q92" s="948">
        <v>0</v>
      </c>
    </row>
    <row r="93" spans="1:17">
      <c r="A93" s="224">
        <v>106</v>
      </c>
      <c r="B93" s="886" t="s">
        <v>1449</v>
      </c>
      <c r="C93" s="888">
        <v>200</v>
      </c>
      <c r="D93" s="888" t="s">
        <v>32</v>
      </c>
      <c r="E93" s="888">
        <v>200</v>
      </c>
      <c r="F93" s="888" t="s">
        <v>32</v>
      </c>
      <c r="G93" s="888">
        <v>400</v>
      </c>
      <c r="H93" s="888">
        <f t="shared" si="6"/>
        <v>3</v>
      </c>
      <c r="I93" s="238"/>
      <c r="J93" s="254">
        <f t="shared" si="10"/>
        <v>200</v>
      </c>
      <c r="K93" s="255">
        <f>C93/(E93-G93)</f>
        <v>-1</v>
      </c>
      <c r="L93" s="256">
        <f>C93-K93*E93</f>
        <v>400</v>
      </c>
      <c r="M93" s="255" t="s">
        <v>32</v>
      </c>
      <c r="N93" s="256" t="s">
        <v>32</v>
      </c>
      <c r="P93" s="948">
        <v>0</v>
      </c>
      <c r="Q93" s="948">
        <v>0</v>
      </c>
    </row>
    <row r="94" spans="1:17">
      <c r="A94" s="224">
        <v>107</v>
      </c>
      <c r="B94" s="886" t="s">
        <v>1450</v>
      </c>
      <c r="C94" s="888">
        <v>110</v>
      </c>
      <c r="D94" s="888" t="s">
        <v>32</v>
      </c>
      <c r="E94" s="888">
        <v>110</v>
      </c>
      <c r="F94" s="888" t="s">
        <v>32</v>
      </c>
      <c r="G94" s="888">
        <v>220</v>
      </c>
      <c r="H94" s="888">
        <f t="shared" si="6"/>
        <v>3</v>
      </c>
      <c r="I94" s="238"/>
      <c r="J94" s="254">
        <f t="shared" si="10"/>
        <v>110</v>
      </c>
      <c r="K94" s="255">
        <f>C94/(E94-G94)</f>
        <v>-1</v>
      </c>
      <c r="L94" s="256">
        <f>C94-K94*E94</f>
        <v>220</v>
      </c>
      <c r="M94" s="255" t="s">
        <v>32</v>
      </c>
      <c r="N94" s="256" t="s">
        <v>32</v>
      </c>
      <c r="P94" s="948">
        <v>0</v>
      </c>
      <c r="Q94" s="948">
        <v>0</v>
      </c>
    </row>
    <row r="95" spans="1:17">
      <c r="A95" s="224">
        <v>108</v>
      </c>
      <c r="B95" s="886" t="s">
        <v>2527</v>
      </c>
      <c r="C95" s="888">
        <v>100</v>
      </c>
      <c r="D95" s="888" t="s">
        <v>32</v>
      </c>
      <c r="E95" s="888">
        <v>100</v>
      </c>
      <c r="F95" s="888" t="s">
        <v>32</v>
      </c>
      <c r="G95" s="888">
        <v>200</v>
      </c>
      <c r="H95" s="888">
        <f t="shared" si="6"/>
        <v>3</v>
      </c>
      <c r="I95" s="238"/>
      <c r="J95" s="254">
        <f t="shared" si="10"/>
        <v>100</v>
      </c>
      <c r="K95" s="255">
        <f>C95/(E95-G95)</f>
        <v>-1</v>
      </c>
      <c r="L95" s="256">
        <f>C95-K95*E95</f>
        <v>200</v>
      </c>
      <c r="M95" s="255" t="s">
        <v>32</v>
      </c>
      <c r="N95" s="256" t="s">
        <v>32</v>
      </c>
      <c r="P95" s="948">
        <v>0</v>
      </c>
      <c r="Q95" s="948">
        <v>0</v>
      </c>
    </row>
    <row r="96" spans="1:17">
      <c r="A96" s="224">
        <v>109</v>
      </c>
      <c r="B96" s="886" t="s">
        <v>3201</v>
      </c>
      <c r="C96" s="888">
        <v>165</v>
      </c>
      <c r="D96" s="888">
        <v>25</v>
      </c>
      <c r="E96" s="888">
        <v>80</v>
      </c>
      <c r="F96" s="888">
        <v>165</v>
      </c>
      <c r="G96" s="888">
        <v>170</v>
      </c>
      <c r="H96" s="888">
        <f t="shared" si="6"/>
        <v>1</v>
      </c>
      <c r="I96" s="238"/>
      <c r="J96" s="245">
        <f t="shared" si="10"/>
        <v>165</v>
      </c>
      <c r="K96" s="257">
        <f>(D96-C96)/(F96-E96)</f>
        <v>-1.6470588235294117</v>
      </c>
      <c r="L96" s="258">
        <f>-(K96*E96-C96)</f>
        <v>296.76470588235293</v>
      </c>
      <c r="M96" s="257">
        <f>D96/(F96-G96)</f>
        <v>-5</v>
      </c>
      <c r="N96" s="258">
        <f>-(M96*F96-D96)</f>
        <v>850</v>
      </c>
      <c r="P96" s="948">
        <v>0</v>
      </c>
      <c r="Q96" s="948">
        <v>0</v>
      </c>
    </row>
    <row r="97" spans="1:17">
      <c r="A97" s="224">
        <v>110</v>
      </c>
      <c r="B97" s="886" t="s">
        <v>3202</v>
      </c>
      <c r="C97" s="888">
        <v>150</v>
      </c>
      <c r="D97" s="888" t="s">
        <v>32</v>
      </c>
      <c r="E97" s="888">
        <v>100</v>
      </c>
      <c r="F97" s="888" t="s">
        <v>32</v>
      </c>
      <c r="G97" s="888">
        <v>200</v>
      </c>
      <c r="H97" s="888">
        <f t="shared" si="6"/>
        <v>3</v>
      </c>
      <c r="I97" s="238"/>
      <c r="J97" s="254">
        <f t="shared" si="10"/>
        <v>150</v>
      </c>
      <c r="K97" s="255">
        <f>C97/(E97-G97)</f>
        <v>-1.5</v>
      </c>
      <c r="L97" s="256">
        <f>C97-K97*E97</f>
        <v>300</v>
      </c>
      <c r="M97" s="255" t="s">
        <v>32</v>
      </c>
      <c r="N97" s="256" t="s">
        <v>32</v>
      </c>
      <c r="P97" s="948">
        <v>0</v>
      </c>
      <c r="Q97" s="948">
        <v>0</v>
      </c>
    </row>
    <row r="98" spans="1:17">
      <c r="A98" s="224">
        <v>111</v>
      </c>
      <c r="B98" s="886" t="s">
        <v>221</v>
      </c>
      <c r="C98" s="888">
        <v>125</v>
      </c>
      <c r="D98" s="888">
        <v>20</v>
      </c>
      <c r="E98" s="888">
        <v>60</v>
      </c>
      <c r="F98" s="888">
        <v>125</v>
      </c>
      <c r="G98" s="888">
        <v>130</v>
      </c>
      <c r="H98" s="888">
        <f t="shared" si="6"/>
        <v>1</v>
      </c>
      <c r="I98" s="238"/>
      <c r="J98" s="245">
        <f t="shared" si="10"/>
        <v>125</v>
      </c>
      <c r="K98" s="257">
        <f>(D98-C98)/(F98-E98)</f>
        <v>-1.6153846153846154</v>
      </c>
      <c r="L98" s="258">
        <f t="shared" ref="L98:L134" si="11">-(K98*E98-C98)</f>
        <v>221.92307692307691</v>
      </c>
      <c r="M98" s="257">
        <f>D98/(F98-G98)</f>
        <v>-4</v>
      </c>
      <c r="N98" s="258">
        <f>-(M98*F98-D98)</f>
        <v>520</v>
      </c>
      <c r="P98" s="948">
        <v>0</v>
      </c>
      <c r="Q98" s="948">
        <v>0</v>
      </c>
    </row>
    <row r="99" spans="1:17">
      <c r="A99" s="224">
        <v>112</v>
      </c>
      <c r="B99" s="886" t="s">
        <v>1059</v>
      </c>
      <c r="C99" s="888">
        <v>18</v>
      </c>
      <c r="D99" s="888">
        <v>12</v>
      </c>
      <c r="E99" s="888">
        <v>0</v>
      </c>
      <c r="F99" s="888">
        <v>6</v>
      </c>
      <c r="G99" s="888">
        <v>6</v>
      </c>
      <c r="H99" s="888">
        <f t="shared" si="6"/>
        <v>2</v>
      </c>
      <c r="I99" s="238"/>
      <c r="J99" s="259">
        <f t="shared" si="10"/>
        <v>18</v>
      </c>
      <c r="K99" s="259">
        <f>(D99-C99)/(F99-E99)</f>
        <v>-1</v>
      </c>
      <c r="L99" s="259">
        <f t="shared" si="11"/>
        <v>18</v>
      </c>
      <c r="M99" s="259" t="s">
        <v>32</v>
      </c>
      <c r="N99" s="260" t="s">
        <v>32</v>
      </c>
      <c r="P99" s="948">
        <v>0</v>
      </c>
      <c r="Q99" s="948">
        <v>0</v>
      </c>
    </row>
    <row r="100" spans="1:17">
      <c r="A100" s="224">
        <v>113</v>
      </c>
      <c r="B100" s="886" t="s">
        <v>1156</v>
      </c>
      <c r="C100" s="888">
        <v>20</v>
      </c>
      <c r="D100" s="888">
        <v>12</v>
      </c>
      <c r="E100" s="888">
        <v>12</v>
      </c>
      <c r="F100" s="888">
        <v>20</v>
      </c>
      <c r="G100" s="888">
        <v>20</v>
      </c>
      <c r="H100" s="888">
        <f t="shared" si="6"/>
        <v>2</v>
      </c>
      <c r="I100" s="238"/>
      <c r="J100" s="259">
        <f>C100</f>
        <v>20</v>
      </c>
      <c r="K100" s="259">
        <f>(D100-C100)/(F100-E100)</f>
        <v>-1</v>
      </c>
      <c r="L100" s="259">
        <f>-(K100*E100-C100)</f>
        <v>32</v>
      </c>
      <c r="M100" s="259" t="s">
        <v>32</v>
      </c>
      <c r="N100" s="260" t="s">
        <v>32</v>
      </c>
      <c r="P100" s="948">
        <v>0</v>
      </c>
      <c r="Q100" s="948">
        <v>0</v>
      </c>
    </row>
    <row r="101" spans="1:17">
      <c r="A101" s="224">
        <v>114</v>
      </c>
      <c r="B101" s="886" t="s">
        <v>2302</v>
      </c>
      <c r="C101" s="888">
        <v>12</v>
      </c>
      <c r="D101" s="888">
        <v>12</v>
      </c>
      <c r="E101" s="888">
        <v>10</v>
      </c>
      <c r="F101" s="888">
        <v>10</v>
      </c>
      <c r="G101" s="888">
        <v>10</v>
      </c>
      <c r="H101" s="888">
        <f t="shared" si="6"/>
        <v>2</v>
      </c>
      <c r="I101" s="238"/>
      <c r="J101" s="259">
        <f t="shared" si="10"/>
        <v>12</v>
      </c>
      <c r="K101" s="259" t="e">
        <f>(D101-C101)/(F101-E101)</f>
        <v>#DIV/0!</v>
      </c>
      <c r="L101" s="259" t="e">
        <f t="shared" si="11"/>
        <v>#DIV/0!</v>
      </c>
      <c r="M101" s="259" t="s">
        <v>32</v>
      </c>
      <c r="N101" s="260" t="s">
        <v>32</v>
      </c>
      <c r="P101" s="948">
        <v>0</v>
      </c>
      <c r="Q101" s="948">
        <v>0</v>
      </c>
    </row>
    <row r="102" spans="1:17">
      <c r="A102" s="224">
        <v>115</v>
      </c>
      <c r="B102" s="886" t="s">
        <v>1912</v>
      </c>
      <c r="C102" s="888">
        <v>10</v>
      </c>
      <c r="D102" s="888" t="s">
        <v>32</v>
      </c>
      <c r="E102" s="888">
        <v>40</v>
      </c>
      <c r="F102" s="888" t="s">
        <v>32</v>
      </c>
      <c r="G102" s="888">
        <v>45</v>
      </c>
      <c r="H102" s="888">
        <f t="shared" ref="H102:H107" si="12">IF((D102=$H$39),3,(IF((F102=G102),2,1)))</f>
        <v>3</v>
      </c>
      <c r="I102" s="286"/>
      <c r="J102" s="254">
        <f t="shared" si="10"/>
        <v>10</v>
      </c>
      <c r="K102" s="255">
        <f>C102/(E102-G102)</f>
        <v>-2</v>
      </c>
      <c r="L102" s="256">
        <f>C102-K102*E102</f>
        <v>90</v>
      </c>
      <c r="M102" s="255" t="s">
        <v>32</v>
      </c>
      <c r="N102" s="256" t="s">
        <v>32</v>
      </c>
      <c r="P102" s="948">
        <v>0</v>
      </c>
      <c r="Q102" s="948">
        <v>0</v>
      </c>
    </row>
    <row r="103" spans="1:17">
      <c r="A103" s="224">
        <v>116</v>
      </c>
      <c r="B103" s="886" t="s">
        <v>3042</v>
      </c>
      <c r="C103" s="888">
        <v>10</v>
      </c>
      <c r="D103" s="888" t="s">
        <v>32</v>
      </c>
      <c r="E103" s="888">
        <v>60</v>
      </c>
      <c r="F103" s="888" t="s">
        <v>32</v>
      </c>
      <c r="G103" s="888">
        <v>70</v>
      </c>
      <c r="H103" s="888">
        <f t="shared" si="12"/>
        <v>3</v>
      </c>
      <c r="I103" s="286"/>
      <c r="J103" s="254">
        <f t="shared" si="10"/>
        <v>10</v>
      </c>
      <c r="K103" s="255">
        <f>C103/(E103-G103)</f>
        <v>-1</v>
      </c>
      <c r="L103" s="256">
        <f>C103-K103*E103</f>
        <v>70</v>
      </c>
      <c r="M103" s="255" t="s">
        <v>32</v>
      </c>
      <c r="N103" s="256" t="s">
        <v>32</v>
      </c>
      <c r="P103" s="948">
        <v>0</v>
      </c>
      <c r="Q103" s="948">
        <v>0</v>
      </c>
    </row>
    <row r="104" spans="1:17">
      <c r="A104" s="224">
        <v>117</v>
      </c>
      <c r="B104" s="886" t="s">
        <v>3203</v>
      </c>
      <c r="C104" s="888">
        <v>10</v>
      </c>
      <c r="D104" s="888" t="s">
        <v>32</v>
      </c>
      <c r="E104" s="888">
        <v>60</v>
      </c>
      <c r="F104" s="888" t="s">
        <v>32</v>
      </c>
      <c r="G104" s="888">
        <v>70</v>
      </c>
      <c r="H104" s="888">
        <f t="shared" si="12"/>
        <v>3</v>
      </c>
      <c r="I104" s="286"/>
      <c r="J104" s="254">
        <f t="shared" si="10"/>
        <v>10</v>
      </c>
      <c r="K104" s="255">
        <f>C104/(E104-G104)</f>
        <v>-1</v>
      </c>
      <c r="L104" s="256">
        <f>C104-K104*E104</f>
        <v>70</v>
      </c>
      <c r="M104" s="255" t="s">
        <v>32</v>
      </c>
      <c r="N104" s="256" t="s">
        <v>32</v>
      </c>
      <c r="P104" s="948">
        <v>0</v>
      </c>
      <c r="Q104" s="948">
        <v>0</v>
      </c>
    </row>
    <row r="105" spans="1:17">
      <c r="A105" s="224">
        <v>118</v>
      </c>
      <c r="B105" s="886" t="s">
        <v>3424</v>
      </c>
      <c r="C105" s="888">
        <v>18</v>
      </c>
      <c r="D105" s="888">
        <v>12</v>
      </c>
      <c r="E105" s="888">
        <v>0</v>
      </c>
      <c r="F105" s="888">
        <v>6</v>
      </c>
      <c r="G105" s="888">
        <v>6</v>
      </c>
      <c r="H105" s="888">
        <f>IF((D105=$H$39),3,(IF((F105=G105),2,1)))</f>
        <v>2</v>
      </c>
      <c r="I105" s="238"/>
      <c r="J105" s="259">
        <f t="shared" si="10"/>
        <v>18</v>
      </c>
      <c r="K105" s="259">
        <f>(D105-C105)/(F105-E105)</f>
        <v>-1</v>
      </c>
      <c r="L105" s="259">
        <f>-(K105*E105-C105)</f>
        <v>18</v>
      </c>
      <c r="M105" s="259" t="s">
        <v>32</v>
      </c>
      <c r="N105" s="260" t="s">
        <v>32</v>
      </c>
      <c r="P105" s="948">
        <v>0</v>
      </c>
      <c r="Q105" s="948">
        <v>0</v>
      </c>
    </row>
    <row r="106" spans="1:17">
      <c r="A106" s="224">
        <v>119</v>
      </c>
      <c r="B106" s="886" t="s">
        <v>1949</v>
      </c>
      <c r="C106" s="888">
        <v>20</v>
      </c>
      <c r="D106" s="888">
        <v>12</v>
      </c>
      <c r="E106" s="888">
        <v>12</v>
      </c>
      <c r="F106" s="888">
        <v>20</v>
      </c>
      <c r="G106" s="888">
        <v>20</v>
      </c>
      <c r="H106" s="888">
        <f>IF((D106=$H$39),3,(IF((F106=G106),2,1)))</f>
        <v>2</v>
      </c>
      <c r="I106" s="238"/>
      <c r="J106" s="259">
        <f t="shared" si="10"/>
        <v>20</v>
      </c>
      <c r="K106" s="259">
        <f>(D106-C106)/(F106-E106)</f>
        <v>-1</v>
      </c>
      <c r="L106" s="259">
        <f>-(K106*E106-C106)</f>
        <v>32</v>
      </c>
      <c r="M106" s="259" t="s">
        <v>32</v>
      </c>
      <c r="N106" s="260" t="s">
        <v>32</v>
      </c>
      <c r="P106" s="948">
        <v>0</v>
      </c>
      <c r="Q106" s="948">
        <v>0</v>
      </c>
    </row>
    <row r="107" spans="1:17">
      <c r="A107" s="224">
        <v>120</v>
      </c>
      <c r="B107" s="886" t="s">
        <v>2814</v>
      </c>
      <c r="C107" s="888">
        <v>150</v>
      </c>
      <c r="D107" s="888" t="s">
        <v>32</v>
      </c>
      <c r="E107" s="888">
        <v>100</v>
      </c>
      <c r="F107" s="888" t="s">
        <v>32</v>
      </c>
      <c r="G107" s="888">
        <v>200</v>
      </c>
      <c r="H107" s="888">
        <f t="shared" si="12"/>
        <v>3</v>
      </c>
      <c r="J107" s="254">
        <f>C107</f>
        <v>150</v>
      </c>
      <c r="K107" s="255">
        <f>C107/(E107-G107)</f>
        <v>-1.5</v>
      </c>
      <c r="L107" s="256">
        <f>C107-K107*E107</f>
        <v>300</v>
      </c>
      <c r="M107" s="255" t="s">
        <v>32</v>
      </c>
      <c r="N107" s="256" t="s">
        <v>32</v>
      </c>
      <c r="P107" s="948">
        <v>0</v>
      </c>
      <c r="Q107" s="948">
        <v>0</v>
      </c>
    </row>
    <row r="108" spans="1:17">
      <c r="A108" s="224">
        <v>121</v>
      </c>
      <c r="B108" s="886" t="s">
        <v>1294</v>
      </c>
      <c r="C108" s="888">
        <v>16</v>
      </c>
      <c r="D108" s="888">
        <v>6</v>
      </c>
      <c r="E108" s="888">
        <v>0</v>
      </c>
      <c r="F108" s="888">
        <v>10</v>
      </c>
      <c r="G108" s="888">
        <v>10</v>
      </c>
      <c r="H108" s="888">
        <f>IF((D108=$H$39),3,(IF((F108=G108),2,1)))</f>
        <v>2</v>
      </c>
      <c r="J108" s="259">
        <f>C108</f>
        <v>16</v>
      </c>
      <c r="K108" s="259">
        <f t="shared" ref="K108:K124" si="13">(D108-C108)/(F108-E108)</f>
        <v>-1</v>
      </c>
      <c r="L108" s="259">
        <f>-(K108*E108-C108)</f>
        <v>16</v>
      </c>
      <c r="M108" s="259" t="s">
        <v>32</v>
      </c>
      <c r="N108" s="260" t="s">
        <v>32</v>
      </c>
      <c r="P108" s="948">
        <v>0</v>
      </c>
      <c r="Q108" s="948">
        <v>0</v>
      </c>
    </row>
    <row r="109" spans="1:17">
      <c r="A109" s="224">
        <v>122</v>
      </c>
      <c r="B109" s="886" t="s">
        <v>1295</v>
      </c>
      <c r="C109" s="888">
        <v>14</v>
      </c>
      <c r="D109" s="888">
        <v>12</v>
      </c>
      <c r="E109" s="888">
        <v>0</v>
      </c>
      <c r="F109" s="888">
        <v>2</v>
      </c>
      <c r="G109" s="888">
        <v>2</v>
      </c>
      <c r="H109" s="888">
        <f>IF((D109=$H$39),3,(IF((F109=G109),2,1)))</f>
        <v>2</v>
      </c>
      <c r="J109" s="259">
        <f>C109</f>
        <v>14</v>
      </c>
      <c r="K109" s="259">
        <f t="shared" si="13"/>
        <v>-1</v>
      </c>
      <c r="L109" s="259">
        <f>-(K109*E109-C109)</f>
        <v>14</v>
      </c>
      <c r="M109" s="259" t="s">
        <v>32</v>
      </c>
      <c r="N109" s="260" t="s">
        <v>32</v>
      </c>
      <c r="P109" s="948">
        <v>0</v>
      </c>
      <c r="Q109" s="948">
        <v>0</v>
      </c>
    </row>
    <row r="110" spans="1:17">
      <c r="A110" s="224">
        <v>123</v>
      </c>
      <c r="B110" s="886" t="s">
        <v>3538</v>
      </c>
      <c r="C110" s="888">
        <v>14</v>
      </c>
      <c r="D110" s="888">
        <v>12</v>
      </c>
      <c r="E110" s="888">
        <v>0</v>
      </c>
      <c r="F110" s="888">
        <v>2</v>
      </c>
      <c r="G110" s="888">
        <v>2</v>
      </c>
      <c r="H110" s="888">
        <f>IF((D110=$H$39),3,(IF((F110=G110),2,1)))</f>
        <v>2</v>
      </c>
      <c r="J110" s="259">
        <f>C110</f>
        <v>14</v>
      </c>
      <c r="K110" s="259">
        <f t="shared" si="13"/>
        <v>-1</v>
      </c>
      <c r="L110" s="259">
        <f>-(K110*E110-C110)</f>
        <v>14</v>
      </c>
      <c r="M110" s="259" t="s">
        <v>32</v>
      </c>
      <c r="N110" s="260" t="s">
        <v>32</v>
      </c>
      <c r="P110" s="948">
        <v>0</v>
      </c>
      <c r="Q110" s="948">
        <v>0</v>
      </c>
    </row>
    <row r="111" spans="1:17">
      <c r="A111" s="224">
        <v>201</v>
      </c>
      <c r="B111" s="886" t="s">
        <v>1639</v>
      </c>
      <c r="C111" s="888">
        <v>160</v>
      </c>
      <c r="D111" s="888">
        <v>25</v>
      </c>
      <c r="E111" s="888">
        <v>100</v>
      </c>
      <c r="F111" s="888">
        <v>200</v>
      </c>
      <c r="G111" s="888">
        <v>210</v>
      </c>
      <c r="H111" s="888">
        <f t="shared" si="6"/>
        <v>1</v>
      </c>
      <c r="I111" s="238"/>
      <c r="J111" s="245">
        <f t="shared" si="10"/>
        <v>160</v>
      </c>
      <c r="K111" s="257">
        <f t="shared" si="13"/>
        <v>-1.35</v>
      </c>
      <c r="L111" s="258">
        <f t="shared" si="11"/>
        <v>295</v>
      </c>
      <c r="M111" s="257">
        <f t="shared" ref="M111:M124" si="14">D111/(F111-G111)</f>
        <v>-2.5</v>
      </c>
      <c r="N111" s="258">
        <f t="shared" ref="N111:N116" si="15">-(M111*F111-D111)</f>
        <v>525</v>
      </c>
      <c r="P111" s="948">
        <v>0</v>
      </c>
      <c r="Q111" s="948">
        <v>0</v>
      </c>
    </row>
    <row r="112" spans="1:17">
      <c r="A112" s="224">
        <v>202</v>
      </c>
      <c r="B112" s="886" t="s">
        <v>1640</v>
      </c>
      <c r="C112" s="888">
        <v>160</v>
      </c>
      <c r="D112" s="888">
        <v>25</v>
      </c>
      <c r="E112" s="888">
        <v>100</v>
      </c>
      <c r="F112" s="888">
        <v>200</v>
      </c>
      <c r="G112" s="888">
        <v>210</v>
      </c>
      <c r="H112" s="888">
        <f t="shared" si="6"/>
        <v>1</v>
      </c>
      <c r="I112" s="238"/>
      <c r="J112" s="245">
        <f t="shared" si="10"/>
        <v>160</v>
      </c>
      <c r="K112" s="257">
        <f t="shared" si="13"/>
        <v>-1.35</v>
      </c>
      <c r="L112" s="258">
        <f t="shared" si="11"/>
        <v>295</v>
      </c>
      <c r="M112" s="257">
        <f t="shared" si="14"/>
        <v>-2.5</v>
      </c>
      <c r="N112" s="258">
        <f t="shared" si="15"/>
        <v>525</v>
      </c>
      <c r="P112" s="948">
        <v>0</v>
      </c>
      <c r="Q112" s="948">
        <v>0</v>
      </c>
    </row>
    <row r="113" spans="1:17">
      <c r="A113" s="224">
        <v>203</v>
      </c>
      <c r="B113" s="886" t="s">
        <v>3185</v>
      </c>
      <c r="C113" s="888">
        <v>178</v>
      </c>
      <c r="D113" s="888">
        <v>25</v>
      </c>
      <c r="E113" s="888">
        <v>85</v>
      </c>
      <c r="F113" s="888">
        <v>210</v>
      </c>
      <c r="G113" s="888">
        <v>221</v>
      </c>
      <c r="H113" s="888">
        <v>1</v>
      </c>
      <c r="I113" s="238"/>
      <c r="J113" s="245">
        <f t="shared" si="10"/>
        <v>178</v>
      </c>
      <c r="K113" s="257">
        <f t="shared" si="13"/>
        <v>-1.224</v>
      </c>
      <c r="L113" s="258">
        <f t="shared" si="11"/>
        <v>282.03999999999996</v>
      </c>
      <c r="M113" s="257">
        <f t="shared" si="14"/>
        <v>-2.2727272727272729</v>
      </c>
      <c r="N113" s="258">
        <f t="shared" si="15"/>
        <v>502.27272727272731</v>
      </c>
      <c r="P113" s="948">
        <v>0</v>
      </c>
      <c r="Q113" s="948">
        <v>0</v>
      </c>
    </row>
    <row r="114" spans="1:17">
      <c r="A114" s="224">
        <v>204</v>
      </c>
      <c r="B114" s="886" t="s">
        <v>247</v>
      </c>
      <c r="C114" s="888">
        <v>178</v>
      </c>
      <c r="D114" s="888">
        <v>25</v>
      </c>
      <c r="E114" s="888">
        <v>85</v>
      </c>
      <c r="F114" s="888">
        <v>210</v>
      </c>
      <c r="G114" s="888">
        <v>221</v>
      </c>
      <c r="H114" s="888">
        <v>1</v>
      </c>
      <c r="I114" s="238"/>
      <c r="J114" s="245">
        <f t="shared" si="10"/>
        <v>178</v>
      </c>
      <c r="K114" s="257">
        <f t="shared" si="13"/>
        <v>-1.224</v>
      </c>
      <c r="L114" s="258">
        <f t="shared" si="11"/>
        <v>282.03999999999996</v>
      </c>
      <c r="M114" s="257">
        <f t="shared" si="14"/>
        <v>-2.2727272727272729</v>
      </c>
      <c r="N114" s="258">
        <f t="shared" si="15"/>
        <v>502.27272727272731</v>
      </c>
      <c r="P114" s="948">
        <v>0</v>
      </c>
      <c r="Q114" s="948">
        <v>0</v>
      </c>
    </row>
    <row r="115" spans="1:17">
      <c r="A115" s="224">
        <v>205</v>
      </c>
      <c r="B115" s="829" t="s">
        <v>714</v>
      </c>
      <c r="C115" s="893">
        <v>125</v>
      </c>
      <c r="D115" s="893">
        <v>25</v>
      </c>
      <c r="E115" s="893">
        <v>50</v>
      </c>
      <c r="F115" s="893">
        <v>100</v>
      </c>
      <c r="G115" s="893">
        <v>105</v>
      </c>
      <c r="H115" s="842">
        <v>1</v>
      </c>
      <c r="I115" s="284"/>
      <c r="J115" s="329">
        <f t="shared" si="10"/>
        <v>125</v>
      </c>
      <c r="K115" s="330">
        <f t="shared" si="13"/>
        <v>-2</v>
      </c>
      <c r="L115" s="331">
        <f t="shared" si="11"/>
        <v>225</v>
      </c>
      <c r="M115" s="330">
        <f>D115/(F115-G115)</f>
        <v>-5</v>
      </c>
      <c r="N115" s="331">
        <f t="shared" si="15"/>
        <v>525</v>
      </c>
      <c r="P115" s="948">
        <v>0</v>
      </c>
      <c r="Q115" s="948">
        <v>0</v>
      </c>
    </row>
    <row r="116" spans="1:17">
      <c r="A116" s="47">
        <v>211</v>
      </c>
      <c r="B116" s="831" t="s">
        <v>1533</v>
      </c>
      <c r="C116" s="842">
        <v>200</v>
      </c>
      <c r="D116" s="842">
        <v>25</v>
      </c>
      <c r="E116" s="842">
        <v>175</v>
      </c>
      <c r="F116" s="842">
        <v>350</v>
      </c>
      <c r="G116" s="842">
        <v>355</v>
      </c>
      <c r="H116" s="842">
        <v>1</v>
      </c>
      <c r="I116" s="238"/>
      <c r="J116" s="245">
        <f t="shared" si="10"/>
        <v>200</v>
      </c>
      <c r="K116" s="257">
        <f t="shared" si="13"/>
        <v>-1</v>
      </c>
      <c r="L116" s="258">
        <f t="shared" si="11"/>
        <v>375</v>
      </c>
      <c r="M116" s="257">
        <f t="shared" si="14"/>
        <v>-5</v>
      </c>
      <c r="N116" s="258">
        <f t="shared" si="15"/>
        <v>1775</v>
      </c>
      <c r="P116" s="948">
        <v>0</v>
      </c>
      <c r="Q116" s="948">
        <v>0</v>
      </c>
    </row>
    <row r="117" spans="1:17">
      <c r="A117" s="47">
        <v>212</v>
      </c>
      <c r="B117" s="831" t="s">
        <v>1609</v>
      </c>
      <c r="C117" s="842">
        <v>325</v>
      </c>
      <c r="D117" s="842">
        <v>25</v>
      </c>
      <c r="E117" s="842">
        <v>300</v>
      </c>
      <c r="F117" s="842">
        <v>600</v>
      </c>
      <c r="G117" s="842">
        <v>600</v>
      </c>
      <c r="H117" s="842">
        <v>2</v>
      </c>
      <c r="I117" s="238"/>
      <c r="J117" s="259">
        <f t="shared" si="10"/>
        <v>325</v>
      </c>
      <c r="K117" s="259">
        <f t="shared" si="13"/>
        <v>-1</v>
      </c>
      <c r="L117" s="259">
        <f t="shared" si="11"/>
        <v>625</v>
      </c>
      <c r="M117" s="259" t="s">
        <v>32</v>
      </c>
      <c r="N117" s="260" t="s">
        <v>32</v>
      </c>
      <c r="P117" s="948">
        <v>0</v>
      </c>
      <c r="Q117" s="948">
        <v>0</v>
      </c>
    </row>
    <row r="118" spans="1:17">
      <c r="A118" s="47">
        <v>213</v>
      </c>
      <c r="B118" s="831" t="s">
        <v>1834</v>
      </c>
      <c r="C118" s="842">
        <v>200</v>
      </c>
      <c r="D118" s="842">
        <v>25</v>
      </c>
      <c r="E118" s="842">
        <v>175</v>
      </c>
      <c r="F118" s="842">
        <v>350</v>
      </c>
      <c r="G118" s="842">
        <v>355</v>
      </c>
      <c r="H118" s="842">
        <v>1</v>
      </c>
      <c r="I118" s="238"/>
      <c r="J118" s="245">
        <f t="shared" si="10"/>
        <v>200</v>
      </c>
      <c r="K118" s="257">
        <f t="shared" si="13"/>
        <v>-1</v>
      </c>
      <c r="L118" s="258">
        <f t="shared" si="11"/>
        <v>375</v>
      </c>
      <c r="M118" s="257">
        <f>D118/(F118-G118)</f>
        <v>-5</v>
      </c>
      <c r="N118" s="258">
        <f t="shared" ref="N118:N128" si="16">-(M118*F118-D118)</f>
        <v>1775</v>
      </c>
      <c r="P118" s="948">
        <v>0</v>
      </c>
      <c r="Q118" s="948">
        <v>0</v>
      </c>
    </row>
    <row r="119" spans="1:17">
      <c r="A119" s="47">
        <v>214</v>
      </c>
      <c r="B119" s="831" t="s">
        <v>1637</v>
      </c>
      <c r="C119" s="842">
        <v>155</v>
      </c>
      <c r="D119" s="842">
        <v>25</v>
      </c>
      <c r="E119" s="842">
        <v>130</v>
      </c>
      <c r="F119" s="842">
        <v>260</v>
      </c>
      <c r="G119" s="842">
        <v>264</v>
      </c>
      <c r="H119" s="842">
        <v>1</v>
      </c>
      <c r="I119" s="238"/>
      <c r="J119" s="245">
        <f t="shared" si="10"/>
        <v>155</v>
      </c>
      <c r="K119" s="257">
        <f t="shared" si="13"/>
        <v>-1</v>
      </c>
      <c r="L119" s="258">
        <f t="shared" si="11"/>
        <v>285</v>
      </c>
      <c r="M119" s="257">
        <f>D119/(F119-G119)</f>
        <v>-6.25</v>
      </c>
      <c r="N119" s="258">
        <f t="shared" si="16"/>
        <v>1650</v>
      </c>
      <c r="P119" s="948">
        <v>0</v>
      </c>
      <c r="Q119" s="948">
        <v>0</v>
      </c>
    </row>
    <row r="120" spans="1:17">
      <c r="A120" s="47">
        <v>215</v>
      </c>
      <c r="B120" s="831" t="s">
        <v>2757</v>
      </c>
      <c r="C120" s="842">
        <v>155</v>
      </c>
      <c r="D120" s="842">
        <v>25</v>
      </c>
      <c r="E120" s="842">
        <v>130</v>
      </c>
      <c r="F120" s="842">
        <v>260</v>
      </c>
      <c r="G120" s="842">
        <v>264</v>
      </c>
      <c r="H120" s="842">
        <v>1</v>
      </c>
      <c r="I120" s="238"/>
      <c r="J120" s="245">
        <f t="shared" si="10"/>
        <v>155</v>
      </c>
      <c r="K120" s="257">
        <f t="shared" si="13"/>
        <v>-1</v>
      </c>
      <c r="L120" s="258">
        <f t="shared" si="11"/>
        <v>285</v>
      </c>
      <c r="M120" s="257">
        <f>D120/(F120-G120)</f>
        <v>-6.25</v>
      </c>
      <c r="N120" s="258">
        <f t="shared" si="16"/>
        <v>1650</v>
      </c>
      <c r="P120" s="948">
        <v>0</v>
      </c>
      <c r="Q120" s="948">
        <v>0</v>
      </c>
    </row>
    <row r="121" spans="1:17">
      <c r="A121" s="144">
        <v>216</v>
      </c>
      <c r="B121" s="831" t="s">
        <v>1196</v>
      </c>
      <c r="C121" s="842">
        <v>325</v>
      </c>
      <c r="D121" s="842">
        <v>25</v>
      </c>
      <c r="E121" s="842">
        <v>400</v>
      </c>
      <c r="F121" s="842">
        <v>700</v>
      </c>
      <c r="G121" s="842">
        <v>700</v>
      </c>
      <c r="H121" s="842">
        <v>2</v>
      </c>
      <c r="I121" s="238"/>
      <c r="J121" s="259">
        <f>C121</f>
        <v>325</v>
      </c>
      <c r="K121" s="259">
        <f>(D121-C121)/(F121-E121)</f>
        <v>-1</v>
      </c>
      <c r="L121" s="259">
        <f>-(K121*E121-C121)</f>
        <v>725</v>
      </c>
      <c r="M121" s="259" t="s">
        <v>32</v>
      </c>
      <c r="N121" s="260" t="s">
        <v>32</v>
      </c>
      <c r="P121" s="948">
        <v>0</v>
      </c>
      <c r="Q121" s="948">
        <v>0</v>
      </c>
    </row>
    <row r="122" spans="1:17">
      <c r="A122" s="372">
        <v>301</v>
      </c>
      <c r="B122" s="886" t="s">
        <v>3422</v>
      </c>
      <c r="C122" s="888">
        <v>195</v>
      </c>
      <c r="D122" s="888">
        <v>25</v>
      </c>
      <c r="E122" s="888">
        <v>80</v>
      </c>
      <c r="F122" s="888">
        <v>165</v>
      </c>
      <c r="G122" s="888">
        <v>167</v>
      </c>
      <c r="H122" s="888">
        <v>1</v>
      </c>
      <c r="I122" s="238"/>
      <c r="J122" s="245">
        <f t="shared" si="10"/>
        <v>195</v>
      </c>
      <c r="K122" s="257">
        <f t="shared" si="13"/>
        <v>-2</v>
      </c>
      <c r="L122" s="258">
        <f t="shared" si="11"/>
        <v>355</v>
      </c>
      <c r="M122" s="257">
        <f t="shared" si="14"/>
        <v>-12.5</v>
      </c>
      <c r="N122" s="258">
        <f t="shared" si="16"/>
        <v>2087.5</v>
      </c>
      <c r="P122" s="948">
        <v>0</v>
      </c>
      <c r="Q122" s="948">
        <v>0</v>
      </c>
    </row>
    <row r="123" spans="1:17">
      <c r="A123" s="372">
        <v>302</v>
      </c>
      <c r="B123" s="886" t="s">
        <v>2265</v>
      </c>
      <c r="C123" s="888">
        <v>197</v>
      </c>
      <c r="D123" s="888">
        <v>25</v>
      </c>
      <c r="E123" s="888">
        <v>80</v>
      </c>
      <c r="F123" s="888">
        <v>165</v>
      </c>
      <c r="G123" s="888">
        <v>167</v>
      </c>
      <c r="H123" s="888">
        <v>1</v>
      </c>
      <c r="I123" s="238"/>
      <c r="J123" s="245">
        <f t="shared" si="10"/>
        <v>197</v>
      </c>
      <c r="K123" s="257">
        <f t="shared" si="13"/>
        <v>-2.0235294117647058</v>
      </c>
      <c r="L123" s="258">
        <f t="shared" si="11"/>
        <v>358.88235294117646</v>
      </c>
      <c r="M123" s="257">
        <f t="shared" si="14"/>
        <v>-12.5</v>
      </c>
      <c r="N123" s="258">
        <f t="shared" si="16"/>
        <v>2087.5</v>
      </c>
      <c r="P123" s="948">
        <v>0</v>
      </c>
      <c r="Q123" s="948">
        <v>0</v>
      </c>
    </row>
    <row r="124" spans="1:17">
      <c r="A124" s="372">
        <v>303</v>
      </c>
      <c r="B124" s="886" t="s">
        <v>2266</v>
      </c>
      <c r="C124" s="888">
        <v>244</v>
      </c>
      <c r="D124" s="888">
        <v>25</v>
      </c>
      <c r="E124" s="888">
        <v>100</v>
      </c>
      <c r="F124" s="888">
        <v>200</v>
      </c>
      <c r="G124" s="888">
        <v>202</v>
      </c>
      <c r="H124" s="888">
        <v>1</v>
      </c>
      <c r="I124" s="238"/>
      <c r="J124" s="245">
        <f t="shared" si="10"/>
        <v>244</v>
      </c>
      <c r="K124" s="257">
        <f t="shared" si="13"/>
        <v>-2.19</v>
      </c>
      <c r="L124" s="258">
        <f t="shared" si="11"/>
        <v>463</v>
      </c>
      <c r="M124" s="257">
        <f t="shared" si="14"/>
        <v>-12.5</v>
      </c>
      <c r="N124" s="258">
        <f t="shared" si="16"/>
        <v>2525</v>
      </c>
      <c r="P124" s="948">
        <v>0</v>
      </c>
      <c r="Q124" s="948">
        <v>0</v>
      </c>
    </row>
    <row r="125" spans="1:17">
      <c r="A125" s="372">
        <v>1026</v>
      </c>
      <c r="B125" s="886" t="s">
        <v>3635</v>
      </c>
      <c r="C125" s="888">
        <v>105</v>
      </c>
      <c r="D125" s="888">
        <v>20</v>
      </c>
      <c r="E125" s="888">
        <v>65</v>
      </c>
      <c r="F125" s="888">
        <v>120</v>
      </c>
      <c r="G125" s="888">
        <v>130</v>
      </c>
      <c r="H125" s="888">
        <f t="shared" ref="H125:H144" si="17">IF((D125=$H$39),3,(IF((F125=G125),2,1)))</f>
        <v>1</v>
      </c>
      <c r="I125" s="238"/>
      <c r="J125" s="245">
        <f t="shared" si="10"/>
        <v>105</v>
      </c>
      <c r="K125" s="257">
        <f t="shared" ref="K125:K134" si="18">(D125-C125)/(F125-E125)</f>
        <v>-1.5454545454545454</v>
      </c>
      <c r="L125" s="258">
        <f t="shared" si="11"/>
        <v>205.45454545454544</v>
      </c>
      <c r="M125" s="257">
        <f>D125/(F125-G125)</f>
        <v>-2</v>
      </c>
      <c r="N125" s="258">
        <f t="shared" si="16"/>
        <v>260</v>
      </c>
      <c r="P125" s="948">
        <v>0</v>
      </c>
      <c r="Q125" s="948">
        <v>0</v>
      </c>
    </row>
    <row r="126" spans="1:17">
      <c r="A126" s="372">
        <v>1027</v>
      </c>
      <c r="B126" s="886" t="s">
        <v>3549</v>
      </c>
      <c r="C126" s="888">
        <v>165</v>
      </c>
      <c r="D126" s="888">
        <v>45</v>
      </c>
      <c r="E126" s="888">
        <v>80</v>
      </c>
      <c r="F126" s="888">
        <v>165</v>
      </c>
      <c r="G126" s="888">
        <v>180</v>
      </c>
      <c r="H126" s="888">
        <f t="shared" si="17"/>
        <v>1</v>
      </c>
      <c r="I126" s="238"/>
      <c r="J126" s="245">
        <f t="shared" si="10"/>
        <v>165</v>
      </c>
      <c r="K126" s="257">
        <f t="shared" si="18"/>
        <v>-1.411764705882353</v>
      </c>
      <c r="L126" s="258">
        <f t="shared" si="11"/>
        <v>277.94117647058823</v>
      </c>
      <c r="M126" s="257">
        <f>D126/(F126-G126)</f>
        <v>-3</v>
      </c>
      <c r="N126" s="258">
        <f t="shared" si="16"/>
        <v>540</v>
      </c>
      <c r="P126" s="948">
        <v>0</v>
      </c>
      <c r="Q126" s="948">
        <v>0</v>
      </c>
    </row>
    <row r="127" spans="1:17">
      <c r="A127" s="372">
        <v>1028</v>
      </c>
      <c r="B127" s="886" t="s">
        <v>828</v>
      </c>
      <c r="C127" s="888">
        <v>195</v>
      </c>
      <c r="D127" s="888">
        <v>20</v>
      </c>
      <c r="E127" s="888">
        <v>100</v>
      </c>
      <c r="F127" s="888">
        <v>200</v>
      </c>
      <c r="G127" s="888">
        <v>205</v>
      </c>
      <c r="H127" s="888">
        <f t="shared" si="17"/>
        <v>1</v>
      </c>
      <c r="I127" s="238"/>
      <c r="J127" s="245">
        <f t="shared" si="10"/>
        <v>195</v>
      </c>
      <c r="K127" s="257">
        <f t="shared" si="18"/>
        <v>-1.75</v>
      </c>
      <c r="L127" s="258">
        <f t="shared" si="11"/>
        <v>370</v>
      </c>
      <c r="M127" s="257">
        <f>D127/(F127-G127)</f>
        <v>-4</v>
      </c>
      <c r="N127" s="258">
        <f t="shared" si="16"/>
        <v>820</v>
      </c>
      <c r="P127" s="948">
        <v>0</v>
      </c>
      <c r="Q127" s="948">
        <v>0</v>
      </c>
    </row>
    <row r="128" spans="1:17">
      <c r="A128" s="372">
        <v>1029</v>
      </c>
      <c r="B128" s="886" t="s">
        <v>829</v>
      </c>
      <c r="C128" s="888">
        <v>120</v>
      </c>
      <c r="D128" s="888">
        <v>20</v>
      </c>
      <c r="E128" s="888">
        <v>65</v>
      </c>
      <c r="F128" s="888">
        <v>120</v>
      </c>
      <c r="G128" s="888">
        <v>130</v>
      </c>
      <c r="H128" s="888">
        <f t="shared" si="17"/>
        <v>1</v>
      </c>
      <c r="I128" s="238"/>
      <c r="J128" s="245">
        <f t="shared" si="10"/>
        <v>120</v>
      </c>
      <c r="K128" s="257">
        <f t="shared" si="18"/>
        <v>-1.8181818181818181</v>
      </c>
      <c r="L128" s="258">
        <f t="shared" si="11"/>
        <v>238.18181818181819</v>
      </c>
      <c r="M128" s="257">
        <f>D128/(F128-G128)</f>
        <v>-2</v>
      </c>
      <c r="N128" s="258">
        <f t="shared" si="16"/>
        <v>260</v>
      </c>
      <c r="P128" s="948">
        <v>0</v>
      </c>
      <c r="Q128" s="948">
        <v>0</v>
      </c>
    </row>
    <row r="129" spans="1:17">
      <c r="A129" s="372">
        <v>1030</v>
      </c>
      <c r="B129" s="886" t="s">
        <v>3275</v>
      </c>
      <c r="C129" s="888">
        <v>170</v>
      </c>
      <c r="D129" s="888">
        <v>20</v>
      </c>
      <c r="E129" s="888">
        <v>80</v>
      </c>
      <c r="F129" s="888">
        <v>165</v>
      </c>
      <c r="G129" s="888">
        <v>165</v>
      </c>
      <c r="H129" s="888">
        <f t="shared" si="17"/>
        <v>2</v>
      </c>
      <c r="I129" s="238"/>
      <c r="J129" s="259">
        <f t="shared" si="10"/>
        <v>170</v>
      </c>
      <c r="K129" s="259">
        <f t="shared" si="18"/>
        <v>-1.7647058823529411</v>
      </c>
      <c r="L129" s="259">
        <f t="shared" si="11"/>
        <v>311.1764705882353</v>
      </c>
      <c r="M129" s="259" t="s">
        <v>32</v>
      </c>
      <c r="N129" s="260" t="s">
        <v>32</v>
      </c>
      <c r="P129" s="948">
        <v>0</v>
      </c>
      <c r="Q129" s="948">
        <v>0</v>
      </c>
    </row>
    <row r="130" spans="1:17">
      <c r="A130" s="372">
        <v>1031</v>
      </c>
      <c r="B130" s="886" t="s">
        <v>1885</v>
      </c>
      <c r="C130" s="888">
        <v>90</v>
      </c>
      <c r="D130" s="888">
        <v>40</v>
      </c>
      <c r="E130" s="888">
        <v>40</v>
      </c>
      <c r="F130" s="888">
        <v>80</v>
      </c>
      <c r="G130" s="888">
        <v>100</v>
      </c>
      <c r="H130" s="888">
        <f t="shared" si="17"/>
        <v>1</v>
      </c>
      <c r="I130" s="238"/>
      <c r="J130" s="245">
        <f t="shared" ref="J130:J137" si="19">C130</f>
        <v>90</v>
      </c>
      <c r="K130" s="257">
        <f t="shared" si="18"/>
        <v>-1.25</v>
      </c>
      <c r="L130" s="258">
        <f t="shared" si="11"/>
        <v>140</v>
      </c>
      <c r="M130" s="257">
        <f>D130/(F130-G130)</f>
        <v>-2</v>
      </c>
      <c r="N130" s="258">
        <f>-(M130*F130-D130)</f>
        <v>200</v>
      </c>
      <c r="P130" s="948">
        <v>0</v>
      </c>
      <c r="Q130" s="948">
        <v>0</v>
      </c>
    </row>
    <row r="131" spans="1:17">
      <c r="A131" s="372">
        <v>1032</v>
      </c>
      <c r="B131" s="886" t="s">
        <v>1362</v>
      </c>
      <c r="C131" s="888">
        <v>125</v>
      </c>
      <c r="D131" s="888">
        <v>20</v>
      </c>
      <c r="E131" s="888">
        <v>60</v>
      </c>
      <c r="F131" s="888">
        <v>125</v>
      </c>
      <c r="G131" s="888">
        <v>130</v>
      </c>
      <c r="H131" s="888">
        <f t="shared" si="17"/>
        <v>1</v>
      </c>
      <c r="I131" s="238"/>
      <c r="J131" s="245">
        <f t="shared" si="19"/>
        <v>125</v>
      </c>
      <c r="K131" s="257">
        <f t="shared" si="18"/>
        <v>-1.6153846153846154</v>
      </c>
      <c r="L131" s="258">
        <f t="shared" si="11"/>
        <v>221.92307692307691</v>
      </c>
      <c r="M131" s="257">
        <f>D131/(F131-G131)</f>
        <v>-4</v>
      </c>
      <c r="N131" s="258">
        <f>-(M131*F131-D131)</f>
        <v>520</v>
      </c>
      <c r="P131" s="948">
        <v>0</v>
      </c>
      <c r="Q131" s="948">
        <v>0</v>
      </c>
    </row>
    <row r="132" spans="1:17">
      <c r="A132" s="372">
        <v>1033</v>
      </c>
      <c r="B132" s="886" t="s">
        <v>1447</v>
      </c>
      <c r="C132" s="888">
        <v>120</v>
      </c>
      <c r="D132" s="888">
        <v>20</v>
      </c>
      <c r="E132" s="888">
        <v>65</v>
      </c>
      <c r="F132" s="888">
        <v>130</v>
      </c>
      <c r="G132" s="888">
        <v>135</v>
      </c>
      <c r="H132" s="888">
        <f t="shared" si="17"/>
        <v>1</v>
      </c>
      <c r="I132" s="238"/>
      <c r="J132" s="245">
        <f t="shared" si="19"/>
        <v>120</v>
      </c>
      <c r="K132" s="257">
        <f t="shared" si="18"/>
        <v>-1.5384615384615385</v>
      </c>
      <c r="L132" s="258">
        <f t="shared" si="11"/>
        <v>220</v>
      </c>
      <c r="M132" s="257">
        <f>D132/(F132-G132)</f>
        <v>-4</v>
      </c>
      <c r="N132" s="258">
        <f>-(M132*F132-D132)</f>
        <v>540</v>
      </c>
      <c r="P132" s="948">
        <v>0</v>
      </c>
      <c r="Q132" s="948">
        <v>0</v>
      </c>
    </row>
    <row r="133" spans="1:17">
      <c r="A133" s="372">
        <v>1034</v>
      </c>
      <c r="B133" s="886" t="s">
        <v>2129</v>
      </c>
      <c r="C133" s="888">
        <v>130</v>
      </c>
      <c r="D133" s="888">
        <v>25</v>
      </c>
      <c r="E133" s="888">
        <v>80</v>
      </c>
      <c r="F133" s="888">
        <v>165</v>
      </c>
      <c r="G133" s="888">
        <v>175</v>
      </c>
      <c r="H133" s="888">
        <f t="shared" si="17"/>
        <v>1</v>
      </c>
      <c r="I133" s="238"/>
      <c r="J133" s="245">
        <f t="shared" si="19"/>
        <v>130</v>
      </c>
      <c r="K133" s="257">
        <f t="shared" si="18"/>
        <v>-1.2352941176470589</v>
      </c>
      <c r="L133" s="258">
        <f t="shared" si="11"/>
        <v>228.8235294117647</v>
      </c>
      <c r="M133" s="257">
        <f>D133/(F133-G133)</f>
        <v>-2.5</v>
      </c>
      <c r="N133" s="258">
        <f>-(M133*F133-D133)</f>
        <v>437.5</v>
      </c>
      <c r="P133" s="948">
        <v>0</v>
      </c>
      <c r="Q133" s="948">
        <v>0</v>
      </c>
    </row>
    <row r="134" spans="1:17">
      <c r="A134" s="372">
        <v>1035</v>
      </c>
      <c r="B134" s="886" t="s">
        <v>2130</v>
      </c>
      <c r="C134" s="888">
        <v>130</v>
      </c>
      <c r="D134" s="888">
        <v>25</v>
      </c>
      <c r="E134" s="888">
        <v>80</v>
      </c>
      <c r="F134" s="888">
        <v>165</v>
      </c>
      <c r="G134" s="888">
        <v>175</v>
      </c>
      <c r="H134" s="888">
        <f t="shared" si="17"/>
        <v>1</v>
      </c>
      <c r="J134" s="245">
        <f t="shared" si="19"/>
        <v>130</v>
      </c>
      <c r="K134" s="257">
        <f t="shared" si="18"/>
        <v>-1.2352941176470589</v>
      </c>
      <c r="L134" s="258">
        <f t="shared" si="11"/>
        <v>228.8235294117647</v>
      </c>
      <c r="M134" s="257">
        <f>D134/(F134-G134)</f>
        <v>-2.5</v>
      </c>
      <c r="N134" s="258">
        <f>-(M134*F134-D134)</f>
        <v>437.5</v>
      </c>
      <c r="P134" s="948">
        <v>0</v>
      </c>
      <c r="Q134" s="948">
        <v>0</v>
      </c>
    </row>
    <row r="135" spans="1:17">
      <c r="A135" s="372">
        <v>1036</v>
      </c>
      <c r="B135" s="886" t="s">
        <v>2091</v>
      </c>
      <c r="C135" s="888">
        <v>200</v>
      </c>
      <c r="D135" s="888" t="s">
        <v>32</v>
      </c>
      <c r="E135" s="888">
        <v>200</v>
      </c>
      <c r="F135" s="888" t="s">
        <v>32</v>
      </c>
      <c r="G135" s="888">
        <v>400</v>
      </c>
      <c r="H135" s="888">
        <f t="shared" si="17"/>
        <v>3</v>
      </c>
      <c r="J135" s="254">
        <f t="shared" si="19"/>
        <v>200</v>
      </c>
      <c r="K135" s="255">
        <f>C135/(E135-G135)</f>
        <v>-1</v>
      </c>
      <c r="L135" s="256">
        <f>C135-K135*E135</f>
        <v>400</v>
      </c>
      <c r="M135" s="255" t="s">
        <v>32</v>
      </c>
      <c r="N135" s="256" t="s">
        <v>32</v>
      </c>
      <c r="P135" s="948">
        <v>0</v>
      </c>
      <c r="Q135" s="948">
        <v>0</v>
      </c>
    </row>
    <row r="136" spans="1:17">
      <c r="A136" s="372">
        <v>1037</v>
      </c>
      <c r="B136" s="886" t="s">
        <v>2024</v>
      </c>
      <c r="C136" s="888">
        <v>110</v>
      </c>
      <c r="D136" s="888" t="s">
        <v>32</v>
      </c>
      <c r="E136" s="888">
        <v>110</v>
      </c>
      <c r="F136" s="888" t="s">
        <v>32</v>
      </c>
      <c r="G136" s="888">
        <v>220</v>
      </c>
      <c r="H136" s="888">
        <f t="shared" si="17"/>
        <v>3</v>
      </c>
      <c r="J136" s="254">
        <f t="shared" si="19"/>
        <v>110</v>
      </c>
      <c r="K136" s="255">
        <f>C136/(E136-G136)</f>
        <v>-1</v>
      </c>
      <c r="L136" s="256">
        <f>C136-K136*E136</f>
        <v>220</v>
      </c>
      <c r="M136" s="255" t="s">
        <v>32</v>
      </c>
      <c r="N136" s="256" t="s">
        <v>32</v>
      </c>
      <c r="P136" s="948">
        <v>0</v>
      </c>
      <c r="Q136" s="948">
        <v>0</v>
      </c>
    </row>
    <row r="137" spans="1:17">
      <c r="A137" s="372">
        <v>1038</v>
      </c>
      <c r="B137" s="886" t="s">
        <v>3712</v>
      </c>
      <c r="C137" s="888">
        <v>100</v>
      </c>
      <c r="D137" s="888" t="s">
        <v>32</v>
      </c>
      <c r="E137" s="888">
        <v>100</v>
      </c>
      <c r="F137" s="888" t="s">
        <v>32</v>
      </c>
      <c r="G137" s="888">
        <v>200</v>
      </c>
      <c r="H137" s="888">
        <f t="shared" si="17"/>
        <v>3</v>
      </c>
      <c r="J137" s="254">
        <f t="shared" si="19"/>
        <v>100</v>
      </c>
      <c r="K137" s="255">
        <f>C137/(E137-G137)</f>
        <v>-1</v>
      </c>
      <c r="L137" s="256">
        <f>C137-K137*E137</f>
        <v>200</v>
      </c>
      <c r="M137" s="255" t="s">
        <v>32</v>
      </c>
      <c r="N137" s="256" t="s">
        <v>32</v>
      </c>
      <c r="P137" s="948">
        <v>0</v>
      </c>
      <c r="Q137" s="948">
        <v>0</v>
      </c>
    </row>
    <row r="138" spans="1:17">
      <c r="A138" s="372">
        <v>1101</v>
      </c>
      <c r="B138" s="886" t="s">
        <v>1644</v>
      </c>
      <c r="C138" s="888">
        <v>140</v>
      </c>
      <c r="D138" s="888">
        <v>25</v>
      </c>
      <c r="E138" s="888">
        <v>80</v>
      </c>
      <c r="F138" s="888">
        <v>165</v>
      </c>
      <c r="G138" s="888">
        <v>175</v>
      </c>
      <c r="H138" s="888">
        <f t="shared" si="17"/>
        <v>1</v>
      </c>
      <c r="J138" s="245">
        <f t="shared" ref="J138:J156" si="20">C138</f>
        <v>140</v>
      </c>
      <c r="K138" s="257">
        <f>(D138-C138)/(F138-E138)</f>
        <v>-1.3529411764705883</v>
      </c>
      <c r="L138" s="258">
        <f>-(K138*E138-C138)</f>
        <v>248.23529411764707</v>
      </c>
      <c r="M138" s="257">
        <f>D138/(F138-G138)</f>
        <v>-2.5</v>
      </c>
      <c r="N138" s="258">
        <f>-(M138*F138-D138)</f>
        <v>437.5</v>
      </c>
      <c r="P138" s="948">
        <v>0</v>
      </c>
      <c r="Q138" s="948">
        <v>0</v>
      </c>
    </row>
    <row r="139" spans="1:17">
      <c r="A139" s="372">
        <v>1102</v>
      </c>
      <c r="B139" s="886" t="s">
        <v>1642</v>
      </c>
      <c r="C139" s="888">
        <v>160</v>
      </c>
      <c r="D139" s="888">
        <v>25</v>
      </c>
      <c r="E139" s="888">
        <v>100</v>
      </c>
      <c r="F139" s="888">
        <v>200</v>
      </c>
      <c r="G139" s="888">
        <v>210</v>
      </c>
      <c r="H139" s="888">
        <f t="shared" si="17"/>
        <v>1</v>
      </c>
      <c r="J139" s="245">
        <f t="shared" si="20"/>
        <v>160</v>
      </c>
      <c r="K139" s="257">
        <f>(D139-C139)/(F139-E139)</f>
        <v>-1.35</v>
      </c>
      <c r="L139" s="258">
        <f>-(K139*E139-C139)</f>
        <v>295</v>
      </c>
      <c r="M139" s="257">
        <f>D139/(F139-G139)</f>
        <v>-2.5</v>
      </c>
      <c r="N139" s="258">
        <f>-(M139*F139-D139)</f>
        <v>525</v>
      </c>
      <c r="P139" s="948">
        <v>0</v>
      </c>
      <c r="Q139" s="948">
        <v>0</v>
      </c>
    </row>
    <row r="140" spans="1:17">
      <c r="A140" s="372">
        <v>1105</v>
      </c>
      <c r="B140" s="886" t="s">
        <v>1643</v>
      </c>
      <c r="C140" s="888">
        <v>130</v>
      </c>
      <c r="D140" s="888">
        <v>25</v>
      </c>
      <c r="E140" s="888">
        <v>80</v>
      </c>
      <c r="F140" s="888">
        <v>165</v>
      </c>
      <c r="G140" s="888">
        <v>175</v>
      </c>
      <c r="H140" s="888">
        <f t="shared" si="17"/>
        <v>1</v>
      </c>
      <c r="J140" s="245">
        <f t="shared" si="20"/>
        <v>130</v>
      </c>
      <c r="K140" s="257">
        <f>(D140-C140)/(F140-E140)</f>
        <v>-1.2352941176470589</v>
      </c>
      <c r="L140" s="258">
        <f>-(K140*E140-C140)</f>
        <v>228.8235294117647</v>
      </c>
      <c r="M140" s="257">
        <f>D140/(F140-G140)</f>
        <v>-2.5</v>
      </c>
      <c r="N140" s="258">
        <f>-(M140*F140-D140)</f>
        <v>437.5</v>
      </c>
      <c r="P140" s="948">
        <v>0</v>
      </c>
      <c r="Q140" s="948">
        <v>0</v>
      </c>
    </row>
    <row r="141" spans="1:17">
      <c r="A141" s="372">
        <v>1109</v>
      </c>
      <c r="B141" s="886" t="s">
        <v>751</v>
      </c>
      <c r="C141" s="888">
        <v>165</v>
      </c>
      <c r="D141" s="888">
        <v>25</v>
      </c>
      <c r="E141" s="888">
        <v>80</v>
      </c>
      <c r="F141" s="888">
        <v>165</v>
      </c>
      <c r="G141" s="888">
        <v>170</v>
      </c>
      <c r="H141" s="888">
        <f t="shared" si="17"/>
        <v>1</v>
      </c>
      <c r="J141" s="245">
        <f t="shared" si="20"/>
        <v>165</v>
      </c>
      <c r="K141" s="257">
        <f>(D141-C141)/(F141-E141)</f>
        <v>-1.6470588235294117</v>
      </c>
      <c r="L141" s="258">
        <f>-(K141*E141-C141)</f>
        <v>296.76470588235293</v>
      </c>
      <c r="M141" s="257">
        <f>D141/(F141-G141)</f>
        <v>-5</v>
      </c>
      <c r="N141" s="258">
        <f>-(M141*F141-D141)</f>
        <v>850</v>
      </c>
      <c r="P141" s="948">
        <v>0</v>
      </c>
      <c r="Q141" s="948">
        <v>0</v>
      </c>
    </row>
    <row r="142" spans="1:17">
      <c r="A142" s="372">
        <v>1110</v>
      </c>
      <c r="B142" s="886" t="s">
        <v>3490</v>
      </c>
      <c r="C142" s="888">
        <v>150</v>
      </c>
      <c r="D142" s="888" t="s">
        <v>32</v>
      </c>
      <c r="E142" s="888">
        <v>100</v>
      </c>
      <c r="F142" s="888" t="s">
        <v>32</v>
      </c>
      <c r="G142" s="888">
        <v>200</v>
      </c>
      <c r="H142" s="888">
        <f t="shared" si="17"/>
        <v>3</v>
      </c>
      <c r="J142" s="254">
        <f t="shared" si="20"/>
        <v>150</v>
      </c>
      <c r="K142" s="255">
        <f>C142/(E142-G142)</f>
        <v>-1.5</v>
      </c>
      <c r="L142" s="256">
        <f>C142-K142*E142</f>
        <v>300</v>
      </c>
      <c r="M142" s="255" t="s">
        <v>32</v>
      </c>
      <c r="N142" s="256" t="s">
        <v>32</v>
      </c>
      <c r="P142" s="948">
        <v>0</v>
      </c>
      <c r="Q142" s="948">
        <v>0</v>
      </c>
    </row>
    <row r="143" spans="1:17">
      <c r="A143" s="372">
        <v>1111</v>
      </c>
      <c r="B143" s="886" t="s">
        <v>3628</v>
      </c>
      <c r="C143" s="888">
        <v>125</v>
      </c>
      <c r="D143" s="888">
        <v>20</v>
      </c>
      <c r="E143" s="888">
        <v>60</v>
      </c>
      <c r="F143" s="888">
        <v>125</v>
      </c>
      <c r="G143" s="888">
        <v>130</v>
      </c>
      <c r="H143" s="888">
        <f t="shared" si="17"/>
        <v>1</v>
      </c>
      <c r="J143" s="245">
        <f t="shared" si="20"/>
        <v>125</v>
      </c>
      <c r="K143" s="257">
        <f t="shared" ref="K143:K156" si="21">(D143-C143)/(F143-E143)</f>
        <v>-1.6153846153846154</v>
      </c>
      <c r="L143" s="258">
        <f t="shared" ref="L143:L156" si="22">-(K143*E143-C143)</f>
        <v>221.92307692307691</v>
      </c>
      <c r="M143" s="257">
        <f>D143/(F143-G143)</f>
        <v>-4</v>
      </c>
      <c r="N143" s="258">
        <f>-(M143*F143-D143)</f>
        <v>520</v>
      </c>
      <c r="P143" s="948">
        <v>0</v>
      </c>
      <c r="Q143" s="948">
        <v>0</v>
      </c>
    </row>
    <row r="144" spans="1:17">
      <c r="A144" s="372">
        <v>1120</v>
      </c>
      <c r="B144" s="886" t="s">
        <v>2782</v>
      </c>
      <c r="C144" s="888">
        <v>150</v>
      </c>
      <c r="D144" s="888" t="s">
        <v>32</v>
      </c>
      <c r="E144" s="888">
        <v>100</v>
      </c>
      <c r="F144" s="888" t="s">
        <v>32</v>
      </c>
      <c r="G144" s="888">
        <v>200</v>
      </c>
      <c r="H144" s="888">
        <f t="shared" si="17"/>
        <v>3</v>
      </c>
      <c r="J144" s="254">
        <f>C144</f>
        <v>150</v>
      </c>
      <c r="K144" s="255">
        <f>C144/(E144-G144)</f>
        <v>-1.5</v>
      </c>
      <c r="L144" s="256">
        <f>C144-K144*E144</f>
        <v>300</v>
      </c>
      <c r="M144" s="255" t="s">
        <v>32</v>
      </c>
      <c r="N144" s="256" t="s">
        <v>32</v>
      </c>
      <c r="P144" s="948">
        <v>0</v>
      </c>
      <c r="Q144" s="948">
        <v>0</v>
      </c>
    </row>
    <row r="145" spans="1:17">
      <c r="A145" s="372">
        <v>1203</v>
      </c>
      <c r="B145" s="886" t="s">
        <v>1835</v>
      </c>
      <c r="C145" s="888">
        <v>178</v>
      </c>
      <c r="D145" s="888">
        <v>25</v>
      </c>
      <c r="E145" s="888">
        <v>85</v>
      </c>
      <c r="F145" s="888">
        <v>210</v>
      </c>
      <c r="G145" s="888">
        <v>221</v>
      </c>
      <c r="H145" s="888">
        <v>1</v>
      </c>
      <c r="I145" s="238"/>
      <c r="J145" s="245">
        <f t="shared" si="20"/>
        <v>178</v>
      </c>
      <c r="K145" s="257">
        <f t="shared" si="21"/>
        <v>-1.224</v>
      </c>
      <c r="L145" s="258">
        <f t="shared" si="22"/>
        <v>282.03999999999996</v>
      </c>
      <c r="M145" s="257">
        <f>D145/(F145-G145)</f>
        <v>-2.2727272727272729</v>
      </c>
      <c r="N145" s="258">
        <f>-(M145*F145-D145)</f>
        <v>502.27272727272731</v>
      </c>
      <c r="P145" s="948">
        <v>0</v>
      </c>
      <c r="Q145" s="948">
        <v>0</v>
      </c>
    </row>
    <row r="146" spans="1:17">
      <c r="A146" s="372">
        <v>1204</v>
      </c>
      <c r="B146" s="886" t="s">
        <v>1635</v>
      </c>
      <c r="C146" s="888">
        <v>178</v>
      </c>
      <c r="D146" s="888">
        <v>25</v>
      </c>
      <c r="E146" s="888">
        <v>85</v>
      </c>
      <c r="F146" s="888">
        <v>210</v>
      </c>
      <c r="G146" s="888">
        <v>221</v>
      </c>
      <c r="H146" s="888">
        <v>1</v>
      </c>
      <c r="I146" s="238"/>
      <c r="J146" s="245">
        <f t="shared" si="20"/>
        <v>178</v>
      </c>
      <c r="K146" s="257">
        <f t="shared" si="21"/>
        <v>-1.224</v>
      </c>
      <c r="L146" s="258">
        <f t="shared" si="22"/>
        <v>282.03999999999996</v>
      </c>
      <c r="M146" s="257">
        <f>D146/(F146-G146)</f>
        <v>-2.2727272727272729</v>
      </c>
      <c r="N146" s="258">
        <f>-(M146*F146-D146)</f>
        <v>502.27272727272731</v>
      </c>
      <c r="P146" s="948">
        <v>0</v>
      </c>
      <c r="Q146" s="948">
        <v>0</v>
      </c>
    </row>
    <row r="147" spans="1:17">
      <c r="A147" s="372">
        <v>1205</v>
      </c>
      <c r="B147" s="829" t="s">
        <v>3632</v>
      </c>
      <c r="C147" s="893">
        <v>125</v>
      </c>
      <c r="D147" s="893">
        <v>25</v>
      </c>
      <c r="E147" s="893">
        <v>50</v>
      </c>
      <c r="F147" s="893">
        <v>100</v>
      </c>
      <c r="G147" s="893">
        <v>105</v>
      </c>
      <c r="H147" s="842">
        <v>1</v>
      </c>
      <c r="I147" s="284"/>
      <c r="J147" s="329">
        <f>C147</f>
        <v>125</v>
      </c>
      <c r="K147" s="330">
        <f>(D147-C147)/(F147-E147)</f>
        <v>-2</v>
      </c>
      <c r="L147" s="331">
        <f t="shared" si="22"/>
        <v>225</v>
      </c>
      <c r="M147" s="330">
        <f>D147/(F147-G147)</f>
        <v>-5</v>
      </c>
      <c r="N147" s="331">
        <f>-(M147*F147-D147)</f>
        <v>525</v>
      </c>
      <c r="P147" s="948">
        <v>0</v>
      </c>
      <c r="Q147" s="948">
        <v>0</v>
      </c>
    </row>
    <row r="148" spans="1:17">
      <c r="A148" s="144">
        <v>1211</v>
      </c>
      <c r="B148" s="831" t="s">
        <v>1448</v>
      </c>
      <c r="C148" s="842">
        <v>200</v>
      </c>
      <c r="D148" s="842">
        <v>25</v>
      </c>
      <c r="E148" s="842">
        <v>175</v>
      </c>
      <c r="F148" s="842">
        <v>350</v>
      </c>
      <c r="G148" s="842">
        <v>355</v>
      </c>
      <c r="H148" s="842">
        <v>1</v>
      </c>
      <c r="J148" s="245">
        <f t="shared" si="20"/>
        <v>200</v>
      </c>
      <c r="K148" s="257">
        <f t="shared" si="21"/>
        <v>-1</v>
      </c>
      <c r="L148" s="258">
        <f t="shared" si="22"/>
        <v>375</v>
      </c>
      <c r="M148" s="257">
        <f>D148/(F148-G148)</f>
        <v>-5</v>
      </c>
      <c r="N148" s="258">
        <f>-(M148*F148-D148)</f>
        <v>1775</v>
      </c>
      <c r="P148" s="948">
        <v>0</v>
      </c>
      <c r="Q148" s="948">
        <v>0</v>
      </c>
    </row>
    <row r="149" spans="1:17">
      <c r="A149" s="144">
        <v>1212</v>
      </c>
      <c r="B149" s="831" t="s">
        <v>2797</v>
      </c>
      <c r="C149" s="842">
        <v>325</v>
      </c>
      <c r="D149" s="842">
        <v>25</v>
      </c>
      <c r="E149" s="842">
        <v>300</v>
      </c>
      <c r="F149" s="842">
        <v>600</v>
      </c>
      <c r="G149" s="842">
        <v>600</v>
      </c>
      <c r="H149" s="842">
        <v>2</v>
      </c>
      <c r="J149" s="259">
        <f t="shared" si="20"/>
        <v>325</v>
      </c>
      <c r="K149" s="259">
        <f t="shared" si="21"/>
        <v>-1</v>
      </c>
      <c r="L149" s="259">
        <f t="shared" si="22"/>
        <v>625</v>
      </c>
      <c r="M149" s="259" t="s">
        <v>32</v>
      </c>
      <c r="N149" s="260" t="s">
        <v>32</v>
      </c>
      <c r="P149" s="948">
        <v>0</v>
      </c>
      <c r="Q149" s="948">
        <v>0</v>
      </c>
    </row>
    <row r="150" spans="1:17">
      <c r="A150" s="144">
        <v>1213</v>
      </c>
      <c r="B150" s="831" t="s">
        <v>3534</v>
      </c>
      <c r="C150" s="842">
        <v>200</v>
      </c>
      <c r="D150" s="842">
        <v>25</v>
      </c>
      <c r="E150" s="842">
        <v>175</v>
      </c>
      <c r="F150" s="842">
        <v>350</v>
      </c>
      <c r="G150" s="842">
        <v>355</v>
      </c>
      <c r="H150" s="842">
        <v>1</v>
      </c>
      <c r="I150" s="238"/>
      <c r="J150" s="245">
        <f t="shared" si="20"/>
        <v>200</v>
      </c>
      <c r="K150" s="257">
        <f t="shared" si="21"/>
        <v>-1</v>
      </c>
      <c r="L150" s="258">
        <f t="shared" si="22"/>
        <v>375</v>
      </c>
      <c r="M150" s="257">
        <f t="shared" ref="M150:M156" si="23">D150/(F150-G150)</f>
        <v>-5</v>
      </c>
      <c r="N150" s="258">
        <f t="shared" ref="N150:N156" si="24">-(M150*F150-D150)</f>
        <v>1775</v>
      </c>
      <c r="P150" s="948">
        <v>0</v>
      </c>
      <c r="Q150" s="948">
        <v>0</v>
      </c>
    </row>
    <row r="151" spans="1:17">
      <c r="A151" s="144">
        <v>1214</v>
      </c>
      <c r="B151" s="831" t="s">
        <v>3140</v>
      </c>
      <c r="C151" s="842">
        <v>155</v>
      </c>
      <c r="D151" s="842">
        <v>25</v>
      </c>
      <c r="E151" s="842">
        <v>130</v>
      </c>
      <c r="F151" s="842">
        <v>260</v>
      </c>
      <c r="G151" s="842">
        <v>264</v>
      </c>
      <c r="H151" s="842">
        <v>1</v>
      </c>
      <c r="J151" s="245">
        <f>C151</f>
        <v>155</v>
      </c>
      <c r="K151" s="257">
        <f>(D151-C151)/(F151-E151)</f>
        <v>-1</v>
      </c>
      <c r="L151" s="258">
        <f t="shared" si="22"/>
        <v>285</v>
      </c>
      <c r="M151" s="257">
        <f t="shared" si="23"/>
        <v>-6.25</v>
      </c>
      <c r="N151" s="258">
        <f t="shared" si="24"/>
        <v>1650</v>
      </c>
      <c r="P151" s="948">
        <v>0</v>
      </c>
      <c r="Q151" s="948">
        <v>0</v>
      </c>
    </row>
    <row r="152" spans="1:17">
      <c r="A152" s="144">
        <v>1215</v>
      </c>
      <c r="B152" s="831" t="s">
        <v>3229</v>
      </c>
      <c r="C152" s="842">
        <v>155</v>
      </c>
      <c r="D152" s="842">
        <v>25</v>
      </c>
      <c r="E152" s="842">
        <v>130</v>
      </c>
      <c r="F152" s="842">
        <v>260</v>
      </c>
      <c r="G152" s="842">
        <v>264</v>
      </c>
      <c r="H152" s="842">
        <v>1</v>
      </c>
      <c r="J152" s="245">
        <f>C152</f>
        <v>155</v>
      </c>
      <c r="K152" s="257">
        <f>(D152-C152)/(F152-E152)</f>
        <v>-1</v>
      </c>
      <c r="L152" s="258">
        <f t="shared" si="22"/>
        <v>285</v>
      </c>
      <c r="M152" s="257">
        <f t="shared" si="23"/>
        <v>-6.25</v>
      </c>
      <c r="N152" s="258">
        <f t="shared" si="24"/>
        <v>1650</v>
      </c>
      <c r="P152" s="948">
        <v>0</v>
      </c>
      <c r="Q152" s="948">
        <v>0</v>
      </c>
    </row>
    <row r="153" spans="1:17">
      <c r="A153" s="144">
        <v>1216</v>
      </c>
      <c r="B153" s="831" t="s">
        <v>1868</v>
      </c>
      <c r="C153" s="842">
        <v>325</v>
      </c>
      <c r="D153" s="842">
        <v>25</v>
      </c>
      <c r="E153" s="842">
        <v>400</v>
      </c>
      <c r="F153" s="842">
        <v>700</v>
      </c>
      <c r="G153" s="842">
        <v>700</v>
      </c>
      <c r="H153" s="842">
        <v>2</v>
      </c>
      <c r="I153" s="238"/>
      <c r="J153" s="259">
        <f>C153</f>
        <v>325</v>
      </c>
      <c r="K153" s="259">
        <f>(D153-C153)/(F153-E153)</f>
        <v>-1</v>
      </c>
      <c r="L153" s="259">
        <f t="shared" si="22"/>
        <v>725</v>
      </c>
      <c r="M153" s="259" t="s">
        <v>32</v>
      </c>
      <c r="N153" s="260" t="s">
        <v>32</v>
      </c>
      <c r="P153" s="948">
        <v>0</v>
      </c>
      <c r="Q153" s="948">
        <v>0</v>
      </c>
    </row>
    <row r="154" spans="1:17">
      <c r="A154" s="224">
        <v>1301</v>
      </c>
      <c r="B154" s="886" t="s">
        <v>1523</v>
      </c>
      <c r="C154" s="888">
        <v>195</v>
      </c>
      <c r="D154" s="888">
        <v>25</v>
      </c>
      <c r="E154" s="888">
        <v>80</v>
      </c>
      <c r="F154" s="888">
        <v>165</v>
      </c>
      <c r="G154" s="888">
        <v>167</v>
      </c>
      <c r="H154" s="888">
        <v>1</v>
      </c>
      <c r="J154" s="245">
        <f t="shared" si="20"/>
        <v>195</v>
      </c>
      <c r="K154" s="257">
        <f t="shared" si="21"/>
        <v>-2</v>
      </c>
      <c r="L154" s="258">
        <f t="shared" si="22"/>
        <v>355</v>
      </c>
      <c r="M154" s="257">
        <f t="shared" si="23"/>
        <v>-12.5</v>
      </c>
      <c r="N154" s="258">
        <f t="shared" si="24"/>
        <v>2087.5</v>
      </c>
      <c r="P154" s="948">
        <v>0</v>
      </c>
      <c r="Q154" s="948">
        <v>0</v>
      </c>
    </row>
    <row r="155" spans="1:17">
      <c r="A155" s="224">
        <v>1302</v>
      </c>
      <c r="B155" s="886" t="s">
        <v>2086</v>
      </c>
      <c r="C155" s="888">
        <v>197</v>
      </c>
      <c r="D155" s="888">
        <v>25</v>
      </c>
      <c r="E155" s="888">
        <v>80</v>
      </c>
      <c r="F155" s="888">
        <v>165</v>
      </c>
      <c r="G155" s="888">
        <v>167</v>
      </c>
      <c r="H155" s="888">
        <v>1</v>
      </c>
      <c r="I155" s="238"/>
      <c r="J155" s="245">
        <f t="shared" si="20"/>
        <v>197</v>
      </c>
      <c r="K155" s="257">
        <f t="shared" si="21"/>
        <v>-2.0235294117647058</v>
      </c>
      <c r="L155" s="258">
        <f t="shared" si="22"/>
        <v>358.88235294117646</v>
      </c>
      <c r="M155" s="257">
        <f t="shared" si="23"/>
        <v>-12.5</v>
      </c>
      <c r="N155" s="258">
        <f t="shared" si="24"/>
        <v>2087.5</v>
      </c>
      <c r="P155" s="948">
        <v>0</v>
      </c>
      <c r="Q155" s="948">
        <v>0</v>
      </c>
    </row>
    <row r="156" spans="1:17">
      <c r="A156" s="224">
        <v>1303</v>
      </c>
      <c r="B156" s="886" t="s">
        <v>2087</v>
      </c>
      <c r="C156" s="888">
        <v>244</v>
      </c>
      <c r="D156" s="888">
        <v>25</v>
      </c>
      <c r="E156" s="888">
        <v>100</v>
      </c>
      <c r="F156" s="888">
        <v>200</v>
      </c>
      <c r="G156" s="888">
        <v>202</v>
      </c>
      <c r="H156" s="888">
        <v>1</v>
      </c>
      <c r="I156" s="238"/>
      <c r="J156" s="245">
        <f t="shared" si="20"/>
        <v>244</v>
      </c>
      <c r="K156" s="257">
        <f t="shared" si="21"/>
        <v>-2.19</v>
      </c>
      <c r="L156" s="258">
        <f t="shared" si="22"/>
        <v>463</v>
      </c>
      <c r="M156" s="257">
        <f t="shared" si="23"/>
        <v>-12.5</v>
      </c>
      <c r="N156" s="258">
        <f t="shared" si="24"/>
        <v>2525</v>
      </c>
      <c r="P156" s="948">
        <v>0</v>
      </c>
      <c r="Q156" s="948">
        <v>0</v>
      </c>
    </row>
    <row r="157" spans="1:17">
      <c r="A157" s="144">
        <v>10000</v>
      </c>
      <c r="B157" s="894" t="s">
        <v>2372</v>
      </c>
      <c r="C157" s="895">
        <v>140</v>
      </c>
      <c r="D157" s="895">
        <v>25</v>
      </c>
      <c r="E157" s="895">
        <v>80</v>
      </c>
      <c r="F157" s="895">
        <v>165</v>
      </c>
      <c r="G157" s="895">
        <v>175</v>
      </c>
      <c r="H157" s="895">
        <v>1</v>
      </c>
      <c r="I157" s="238"/>
      <c r="J157" s="245">
        <f t="shared" ref="J157:J162" si="25">C157</f>
        <v>140</v>
      </c>
      <c r="K157" s="257">
        <f t="shared" ref="K157:K162" si="26">(D157-C157)/(F157-E157)</f>
        <v>-1.3529411764705883</v>
      </c>
      <c r="L157" s="258">
        <f t="shared" ref="L157:L162" si="27">-(K157*E157-C157)</f>
        <v>248.23529411764707</v>
      </c>
      <c r="M157" s="257">
        <f t="shared" ref="M157:M162" si="28">D157/(F157-G157)</f>
        <v>-2.5</v>
      </c>
      <c r="N157" s="258">
        <f t="shared" ref="N157:N162" si="29">-(M157*F157-D157)</f>
        <v>437.5</v>
      </c>
      <c r="P157" s="948">
        <v>0</v>
      </c>
      <c r="Q157" s="948">
        <v>0</v>
      </c>
    </row>
    <row r="158" spans="1:17">
      <c r="A158" s="144">
        <v>10001</v>
      </c>
      <c r="B158" s="894" t="s">
        <v>1107</v>
      </c>
      <c r="C158" s="895">
        <v>178</v>
      </c>
      <c r="D158" s="895">
        <v>25</v>
      </c>
      <c r="E158" s="895">
        <v>85</v>
      </c>
      <c r="F158" s="895">
        <v>210</v>
      </c>
      <c r="G158" s="895">
        <v>221</v>
      </c>
      <c r="H158" s="895">
        <v>1</v>
      </c>
      <c r="I158" s="238"/>
      <c r="J158" s="245">
        <f t="shared" si="25"/>
        <v>178</v>
      </c>
      <c r="K158" s="257">
        <f t="shared" si="26"/>
        <v>-1.224</v>
      </c>
      <c r="L158" s="258">
        <f t="shared" si="27"/>
        <v>282.03999999999996</v>
      </c>
      <c r="M158" s="257">
        <f t="shared" si="28"/>
        <v>-2.2727272727272729</v>
      </c>
      <c r="N158" s="258">
        <f t="shared" si="29"/>
        <v>502.27272727272731</v>
      </c>
      <c r="O158" s="215"/>
      <c r="P158" s="948">
        <v>0</v>
      </c>
      <c r="Q158" s="948">
        <v>0</v>
      </c>
    </row>
    <row r="159" spans="1:17">
      <c r="A159" s="144">
        <v>10002</v>
      </c>
      <c r="B159" s="894" t="s">
        <v>1108</v>
      </c>
      <c r="C159" s="895">
        <v>125</v>
      </c>
      <c r="D159" s="895">
        <v>20</v>
      </c>
      <c r="E159" s="895">
        <v>60</v>
      </c>
      <c r="F159" s="895">
        <v>125</v>
      </c>
      <c r="G159" s="895">
        <v>130</v>
      </c>
      <c r="H159" s="895">
        <v>1</v>
      </c>
      <c r="I159" s="238"/>
      <c r="J159" s="245">
        <f t="shared" si="25"/>
        <v>125</v>
      </c>
      <c r="K159" s="257">
        <f t="shared" si="26"/>
        <v>-1.6153846153846154</v>
      </c>
      <c r="L159" s="258">
        <f t="shared" si="27"/>
        <v>221.92307692307691</v>
      </c>
      <c r="M159" s="257">
        <f t="shared" si="28"/>
        <v>-4</v>
      </c>
      <c r="N159" s="258">
        <f t="shared" si="29"/>
        <v>520</v>
      </c>
      <c r="O159" s="215"/>
      <c r="P159" s="948">
        <v>0</v>
      </c>
      <c r="Q159" s="948">
        <v>0</v>
      </c>
    </row>
    <row r="160" spans="1:17">
      <c r="A160" s="144">
        <v>10003</v>
      </c>
      <c r="B160" s="894" t="s">
        <v>1483</v>
      </c>
      <c r="C160" s="895">
        <v>140</v>
      </c>
      <c r="D160" s="895">
        <v>25</v>
      </c>
      <c r="E160" s="895">
        <v>80</v>
      </c>
      <c r="F160" s="895">
        <v>165</v>
      </c>
      <c r="G160" s="895">
        <v>175</v>
      </c>
      <c r="H160" s="895">
        <v>1</v>
      </c>
      <c r="J160" s="245">
        <f t="shared" si="25"/>
        <v>140</v>
      </c>
      <c r="K160" s="257">
        <f t="shared" si="26"/>
        <v>-1.3529411764705883</v>
      </c>
      <c r="L160" s="258">
        <f t="shared" si="27"/>
        <v>248.23529411764707</v>
      </c>
      <c r="M160" s="257">
        <f t="shared" si="28"/>
        <v>-2.5</v>
      </c>
      <c r="N160" s="258">
        <f t="shared" si="29"/>
        <v>437.5</v>
      </c>
      <c r="O160" s="215"/>
      <c r="P160" s="948">
        <v>0</v>
      </c>
      <c r="Q160" s="948">
        <v>0</v>
      </c>
    </row>
    <row r="161" spans="1:17">
      <c r="A161" s="144">
        <v>10004</v>
      </c>
      <c r="B161" s="894" t="s">
        <v>1484</v>
      </c>
      <c r="C161" s="895">
        <v>178</v>
      </c>
      <c r="D161" s="895">
        <v>25</v>
      </c>
      <c r="E161" s="895">
        <v>85</v>
      </c>
      <c r="F161" s="895">
        <v>210</v>
      </c>
      <c r="G161" s="895">
        <v>221</v>
      </c>
      <c r="H161" s="895">
        <v>1</v>
      </c>
      <c r="J161" s="245">
        <f t="shared" si="25"/>
        <v>178</v>
      </c>
      <c r="K161" s="257">
        <f t="shared" si="26"/>
        <v>-1.224</v>
      </c>
      <c r="L161" s="258">
        <f t="shared" si="27"/>
        <v>282.03999999999996</v>
      </c>
      <c r="M161" s="257">
        <f t="shared" si="28"/>
        <v>-2.2727272727272729</v>
      </c>
      <c r="N161" s="258">
        <f t="shared" si="29"/>
        <v>502.27272727272731</v>
      </c>
      <c r="O161" s="215"/>
      <c r="P161" s="948">
        <v>0</v>
      </c>
      <c r="Q161" s="948">
        <v>0</v>
      </c>
    </row>
    <row r="162" spans="1:17">
      <c r="A162" s="144">
        <v>10005</v>
      </c>
      <c r="B162" s="894" t="s">
        <v>1485</v>
      </c>
      <c r="C162" s="895">
        <v>125</v>
      </c>
      <c r="D162" s="895">
        <v>20</v>
      </c>
      <c r="E162" s="895">
        <v>60</v>
      </c>
      <c r="F162" s="895">
        <v>125</v>
      </c>
      <c r="G162" s="895">
        <v>130</v>
      </c>
      <c r="H162" s="895">
        <v>1</v>
      </c>
      <c r="J162" s="245">
        <f t="shared" si="25"/>
        <v>125</v>
      </c>
      <c r="K162" s="257">
        <f t="shared" si="26"/>
        <v>-1.6153846153846154</v>
      </c>
      <c r="L162" s="258">
        <f t="shared" si="27"/>
        <v>221.92307692307691</v>
      </c>
      <c r="M162" s="257">
        <f t="shared" si="28"/>
        <v>-4</v>
      </c>
      <c r="N162" s="258">
        <f t="shared" si="29"/>
        <v>520</v>
      </c>
      <c r="O162" s="215"/>
      <c r="P162" s="948">
        <v>0</v>
      </c>
      <c r="Q162" s="948">
        <v>0</v>
      </c>
    </row>
    <row r="163" spans="1:17">
      <c r="A163" s="372">
        <v>10006</v>
      </c>
      <c r="B163" s="896" t="s">
        <v>547</v>
      </c>
      <c r="C163" s="888">
        <v>15</v>
      </c>
      <c r="D163" s="888" t="s">
        <v>347</v>
      </c>
      <c r="E163" s="888">
        <v>43</v>
      </c>
      <c r="F163" s="888" t="s">
        <v>347</v>
      </c>
      <c r="G163" s="888">
        <v>50</v>
      </c>
      <c r="H163" s="888">
        <v>3</v>
      </c>
      <c r="J163" s="254">
        <f>C163</f>
        <v>15</v>
      </c>
      <c r="K163" s="255">
        <f>C163/(E163-G163)</f>
        <v>-2.1428571428571428</v>
      </c>
      <c r="L163" s="256">
        <f>C163-K163*E163</f>
        <v>107.14285714285714</v>
      </c>
      <c r="M163" s="255" t="s">
        <v>32</v>
      </c>
      <c r="N163" s="256" t="s">
        <v>32</v>
      </c>
      <c r="O163" s="215"/>
      <c r="P163" s="948">
        <v>0</v>
      </c>
      <c r="Q163" s="948">
        <v>0</v>
      </c>
    </row>
    <row r="164" spans="1:17">
      <c r="A164" s="372">
        <v>10007</v>
      </c>
      <c r="B164" s="896" t="s">
        <v>3466</v>
      </c>
      <c r="C164" s="888">
        <v>15</v>
      </c>
      <c r="D164" s="888" t="s">
        <v>347</v>
      </c>
      <c r="E164" s="888">
        <v>43</v>
      </c>
      <c r="F164" s="888" t="s">
        <v>347</v>
      </c>
      <c r="G164" s="888">
        <v>50</v>
      </c>
      <c r="H164" s="888">
        <v>3</v>
      </c>
      <c r="J164" s="254">
        <f>C164</f>
        <v>15</v>
      </c>
      <c r="K164" s="255">
        <f>C164/(E164-G164)</f>
        <v>-2.1428571428571428</v>
      </c>
      <c r="L164" s="256">
        <f>C164-K164*E164</f>
        <v>107.14285714285714</v>
      </c>
      <c r="M164" s="255" t="s">
        <v>32</v>
      </c>
      <c r="N164" s="256" t="s">
        <v>32</v>
      </c>
      <c r="O164" s="215"/>
      <c r="P164" s="948">
        <v>0</v>
      </c>
      <c r="Q164" s="948">
        <v>0</v>
      </c>
    </row>
    <row r="165" spans="1:17">
      <c r="A165" s="372">
        <v>10008</v>
      </c>
      <c r="B165" s="896" t="s">
        <v>71</v>
      </c>
      <c r="C165" s="888">
        <v>165</v>
      </c>
      <c r="D165" s="888">
        <v>25</v>
      </c>
      <c r="E165" s="888">
        <v>80</v>
      </c>
      <c r="F165" s="888">
        <v>165</v>
      </c>
      <c r="G165" s="888">
        <v>170</v>
      </c>
      <c r="H165" s="888">
        <v>1</v>
      </c>
      <c r="J165" s="329">
        <f t="shared" ref="J165:J170" si="30">C165</f>
        <v>165</v>
      </c>
      <c r="K165" s="330">
        <f t="shared" ref="K165:K170" si="31">(D165-C165)/(F165-E165)</f>
        <v>-1.6470588235294117</v>
      </c>
      <c r="L165" s="331">
        <f t="shared" ref="L165:L170" si="32">-(K165*E165-C165)</f>
        <v>296.76470588235293</v>
      </c>
      <c r="M165" s="330">
        <f t="shared" ref="M165:M170" si="33">D165/(F165-G165)</f>
        <v>-5</v>
      </c>
      <c r="N165" s="331">
        <f t="shared" ref="N165:N170" si="34">-(M165*F165-D165)</f>
        <v>850</v>
      </c>
      <c r="O165" s="215"/>
      <c r="P165" s="948">
        <v>0</v>
      </c>
      <c r="Q165" s="948">
        <v>0</v>
      </c>
    </row>
    <row r="166" spans="1:17">
      <c r="A166" s="213">
        <v>10009</v>
      </c>
      <c r="B166" s="896" t="s">
        <v>72</v>
      </c>
      <c r="C166" s="888">
        <v>165</v>
      </c>
      <c r="D166" s="888">
        <v>25</v>
      </c>
      <c r="E166" s="888">
        <v>80</v>
      </c>
      <c r="F166" s="888">
        <v>165</v>
      </c>
      <c r="G166" s="888">
        <v>170</v>
      </c>
      <c r="H166" s="888">
        <v>1</v>
      </c>
      <c r="J166" s="329">
        <f t="shared" si="30"/>
        <v>165</v>
      </c>
      <c r="K166" s="330">
        <f t="shared" si="31"/>
        <v>-1.6470588235294117</v>
      </c>
      <c r="L166" s="331">
        <f t="shared" si="32"/>
        <v>296.76470588235293</v>
      </c>
      <c r="M166" s="330">
        <f t="shared" si="33"/>
        <v>-5</v>
      </c>
      <c r="N166" s="331">
        <f t="shared" si="34"/>
        <v>850</v>
      </c>
      <c r="O166" s="215"/>
      <c r="P166" s="948">
        <v>0</v>
      </c>
      <c r="Q166" s="948">
        <v>0</v>
      </c>
    </row>
    <row r="167" spans="1:17">
      <c r="A167" s="372">
        <v>10010</v>
      </c>
      <c r="B167" s="886" t="s">
        <v>2034</v>
      </c>
      <c r="C167" s="888">
        <v>197</v>
      </c>
      <c r="D167" s="888">
        <v>25</v>
      </c>
      <c r="E167" s="888">
        <v>80</v>
      </c>
      <c r="F167" s="888">
        <v>165</v>
      </c>
      <c r="G167" s="888">
        <v>167</v>
      </c>
      <c r="H167" s="888">
        <v>1</v>
      </c>
      <c r="J167" s="329">
        <f t="shared" si="30"/>
        <v>197</v>
      </c>
      <c r="K167" s="330">
        <f t="shared" si="31"/>
        <v>-2.0235294117647058</v>
      </c>
      <c r="L167" s="331">
        <f t="shared" si="32"/>
        <v>358.88235294117646</v>
      </c>
      <c r="M167" s="330">
        <f t="shared" si="33"/>
        <v>-12.5</v>
      </c>
      <c r="N167" s="331">
        <f t="shared" si="34"/>
        <v>2087.5</v>
      </c>
      <c r="O167" s="215"/>
      <c r="P167" s="948">
        <v>0</v>
      </c>
      <c r="Q167" s="948">
        <v>0</v>
      </c>
    </row>
    <row r="168" spans="1:17">
      <c r="A168" s="372">
        <v>10011</v>
      </c>
      <c r="B168" s="886" t="s">
        <v>3823</v>
      </c>
      <c r="C168" s="888">
        <v>244</v>
      </c>
      <c r="D168" s="888">
        <v>25</v>
      </c>
      <c r="E168" s="888">
        <v>100</v>
      </c>
      <c r="F168" s="888">
        <v>200</v>
      </c>
      <c r="G168" s="888">
        <v>202</v>
      </c>
      <c r="H168" s="888">
        <v>1</v>
      </c>
      <c r="J168" s="329">
        <f t="shared" si="30"/>
        <v>244</v>
      </c>
      <c r="K168" s="330">
        <f t="shared" si="31"/>
        <v>-2.19</v>
      </c>
      <c r="L168" s="331">
        <f t="shared" si="32"/>
        <v>463</v>
      </c>
      <c r="M168" s="330">
        <f t="shared" si="33"/>
        <v>-12.5</v>
      </c>
      <c r="N168" s="331">
        <f t="shared" si="34"/>
        <v>2525</v>
      </c>
      <c r="O168" s="215"/>
      <c r="P168" s="948">
        <v>0</v>
      </c>
      <c r="Q168" s="948">
        <v>0</v>
      </c>
    </row>
    <row r="169" spans="1:17">
      <c r="A169" s="224">
        <v>10012</v>
      </c>
      <c r="B169" s="886" t="s">
        <v>2952</v>
      </c>
      <c r="C169" s="888">
        <v>197</v>
      </c>
      <c r="D169" s="888">
        <v>25</v>
      </c>
      <c r="E169" s="888">
        <v>80</v>
      </c>
      <c r="F169" s="888">
        <v>165</v>
      </c>
      <c r="G169" s="888">
        <v>167</v>
      </c>
      <c r="H169" s="888">
        <v>1</v>
      </c>
      <c r="J169" s="329">
        <f t="shared" si="30"/>
        <v>197</v>
      </c>
      <c r="K169" s="330">
        <f t="shared" si="31"/>
        <v>-2.0235294117647058</v>
      </c>
      <c r="L169" s="331">
        <f t="shared" si="32"/>
        <v>358.88235294117646</v>
      </c>
      <c r="M169" s="330">
        <f t="shared" si="33"/>
        <v>-12.5</v>
      </c>
      <c r="N169" s="331">
        <f t="shared" si="34"/>
        <v>2087.5</v>
      </c>
      <c r="O169" s="215"/>
      <c r="P169" s="948">
        <v>0</v>
      </c>
      <c r="Q169" s="948">
        <v>0</v>
      </c>
    </row>
    <row r="170" spans="1:17">
      <c r="A170" s="224">
        <v>10013</v>
      </c>
      <c r="B170" s="886" t="s">
        <v>267</v>
      </c>
      <c r="C170" s="888">
        <v>244</v>
      </c>
      <c r="D170" s="888">
        <v>25</v>
      </c>
      <c r="E170" s="888">
        <v>100</v>
      </c>
      <c r="F170" s="888">
        <v>200</v>
      </c>
      <c r="G170" s="888">
        <v>202</v>
      </c>
      <c r="H170" s="888">
        <v>1</v>
      </c>
      <c r="J170" s="329">
        <f t="shared" si="30"/>
        <v>244</v>
      </c>
      <c r="K170" s="330">
        <f t="shared" si="31"/>
        <v>-2.19</v>
      </c>
      <c r="L170" s="331">
        <f t="shared" si="32"/>
        <v>463</v>
      </c>
      <c r="M170" s="330">
        <f t="shared" si="33"/>
        <v>-12.5</v>
      </c>
      <c r="N170" s="331">
        <f t="shared" si="34"/>
        <v>2525</v>
      </c>
      <c r="P170" s="948">
        <v>0</v>
      </c>
      <c r="Q170" s="948">
        <v>0</v>
      </c>
    </row>
    <row r="171" spans="1:17">
      <c r="A171" s="224">
        <v>10014</v>
      </c>
      <c r="B171" s="886" t="s">
        <v>268</v>
      </c>
      <c r="C171" s="888">
        <v>150</v>
      </c>
      <c r="D171" s="888" t="s">
        <v>32</v>
      </c>
      <c r="E171" s="888">
        <v>100</v>
      </c>
      <c r="F171" s="888" t="s">
        <v>32</v>
      </c>
      <c r="G171" s="888">
        <v>200</v>
      </c>
      <c r="H171" s="888">
        <v>3</v>
      </c>
      <c r="J171" s="254">
        <f>C171</f>
        <v>150</v>
      </c>
      <c r="K171" s="255">
        <f>C171/(E171-G171)</f>
        <v>-1.5</v>
      </c>
      <c r="L171" s="256">
        <f>C171-K171*E171</f>
        <v>300</v>
      </c>
      <c r="M171" s="255" t="s">
        <v>32</v>
      </c>
      <c r="N171" s="256" t="s">
        <v>32</v>
      </c>
      <c r="P171" s="948">
        <v>0</v>
      </c>
      <c r="Q171" s="948">
        <v>0</v>
      </c>
    </row>
    <row r="172" spans="1:17">
      <c r="A172" s="213">
        <v>10015</v>
      </c>
      <c r="B172" s="886" t="s">
        <v>572</v>
      </c>
      <c r="C172" s="888">
        <v>150</v>
      </c>
      <c r="D172" s="888" t="s">
        <v>32</v>
      </c>
      <c r="E172" s="888">
        <v>100</v>
      </c>
      <c r="F172" s="888" t="s">
        <v>32</v>
      </c>
      <c r="G172" s="888">
        <v>200</v>
      </c>
      <c r="H172" s="888">
        <v>3</v>
      </c>
      <c r="J172" s="254">
        <f>C172</f>
        <v>150</v>
      </c>
      <c r="K172" s="255">
        <f>C172/(E172-G172)</f>
        <v>-1.5</v>
      </c>
      <c r="L172" s="256">
        <f>C172-K172*E172</f>
        <v>300</v>
      </c>
      <c r="M172" s="255" t="s">
        <v>32</v>
      </c>
      <c r="N172" s="256" t="s">
        <v>32</v>
      </c>
      <c r="P172" s="948">
        <v>0</v>
      </c>
      <c r="Q172" s="948">
        <v>0</v>
      </c>
    </row>
    <row r="173" spans="1:17">
      <c r="A173" s="213">
        <v>10016</v>
      </c>
      <c r="B173" s="886" t="s">
        <v>573</v>
      </c>
      <c r="C173" s="888">
        <v>125</v>
      </c>
      <c r="D173" s="888">
        <v>25</v>
      </c>
      <c r="E173" s="888">
        <v>50</v>
      </c>
      <c r="F173" s="888">
        <v>100</v>
      </c>
      <c r="G173" s="888">
        <v>105</v>
      </c>
      <c r="H173" s="888">
        <v>1</v>
      </c>
      <c r="J173" s="329">
        <f t="shared" ref="J173:J180" si="35">C173</f>
        <v>125</v>
      </c>
      <c r="K173" s="330">
        <f t="shared" ref="K173:K180" si="36">(D173-C173)/(F173-E173)</f>
        <v>-2</v>
      </c>
      <c r="L173" s="331">
        <f t="shared" ref="L173:L180" si="37">-(K173*E173-C173)</f>
        <v>225</v>
      </c>
      <c r="M173" s="330">
        <f t="shared" ref="M173:M180" si="38">D173/(F173-G173)</f>
        <v>-5</v>
      </c>
      <c r="N173" s="331">
        <f t="shared" ref="N173:N180" si="39">-(M173*F173-D173)</f>
        <v>525</v>
      </c>
      <c r="P173" s="948">
        <v>0</v>
      </c>
      <c r="Q173" s="948">
        <v>0</v>
      </c>
    </row>
    <row r="174" spans="1:17">
      <c r="A174" s="213">
        <v>10017</v>
      </c>
      <c r="B174" s="886" t="s">
        <v>574</v>
      </c>
      <c r="C174" s="888">
        <v>125</v>
      </c>
      <c r="D174" s="888">
        <v>25</v>
      </c>
      <c r="E174" s="888">
        <v>50</v>
      </c>
      <c r="F174" s="888">
        <v>100</v>
      </c>
      <c r="G174" s="888">
        <v>105</v>
      </c>
      <c r="H174" s="888">
        <v>1</v>
      </c>
      <c r="J174" s="329">
        <f t="shared" si="35"/>
        <v>125</v>
      </c>
      <c r="K174" s="330">
        <f t="shared" si="36"/>
        <v>-2</v>
      </c>
      <c r="L174" s="331">
        <f t="shared" si="37"/>
        <v>225</v>
      </c>
      <c r="M174" s="330">
        <f t="shared" si="38"/>
        <v>-5</v>
      </c>
      <c r="N174" s="331">
        <f t="shared" si="39"/>
        <v>525</v>
      </c>
      <c r="P174" s="948">
        <v>0</v>
      </c>
      <c r="Q174" s="948">
        <v>0</v>
      </c>
    </row>
    <row r="175" spans="1:17">
      <c r="A175" s="213">
        <v>10018</v>
      </c>
      <c r="B175" s="886" t="s">
        <v>575</v>
      </c>
      <c r="C175" s="888">
        <v>175</v>
      </c>
      <c r="D175" s="888">
        <v>20</v>
      </c>
      <c r="E175" s="888">
        <v>75</v>
      </c>
      <c r="F175" s="888">
        <v>175</v>
      </c>
      <c r="G175" s="888">
        <v>180</v>
      </c>
      <c r="H175" s="888">
        <v>1</v>
      </c>
      <c r="J175" s="329">
        <f t="shared" si="35"/>
        <v>175</v>
      </c>
      <c r="K175" s="330">
        <f t="shared" si="36"/>
        <v>-1.55</v>
      </c>
      <c r="L175" s="331">
        <f t="shared" si="37"/>
        <v>291.25</v>
      </c>
      <c r="M175" s="330">
        <f t="shared" si="38"/>
        <v>-4</v>
      </c>
      <c r="N175" s="331">
        <f t="shared" si="39"/>
        <v>720</v>
      </c>
      <c r="P175" s="948">
        <v>0</v>
      </c>
      <c r="Q175" s="948">
        <v>0</v>
      </c>
    </row>
    <row r="176" spans="1:17">
      <c r="A176" s="213">
        <v>10019</v>
      </c>
      <c r="B176" s="886" t="s">
        <v>1008</v>
      </c>
      <c r="C176" s="888">
        <v>175</v>
      </c>
      <c r="D176" s="888">
        <v>20</v>
      </c>
      <c r="E176" s="888">
        <v>75</v>
      </c>
      <c r="F176" s="888">
        <v>175</v>
      </c>
      <c r="G176" s="888">
        <v>180</v>
      </c>
      <c r="H176" s="888">
        <v>1</v>
      </c>
      <c r="J176" s="329">
        <f t="shared" si="35"/>
        <v>175</v>
      </c>
      <c r="K176" s="330">
        <f t="shared" si="36"/>
        <v>-1.55</v>
      </c>
      <c r="L176" s="331">
        <f t="shared" si="37"/>
        <v>291.25</v>
      </c>
      <c r="M176" s="330">
        <f t="shared" si="38"/>
        <v>-4</v>
      </c>
      <c r="N176" s="331">
        <f t="shared" si="39"/>
        <v>720</v>
      </c>
      <c r="P176" s="948">
        <v>0</v>
      </c>
      <c r="Q176" s="948">
        <v>0</v>
      </c>
    </row>
    <row r="177" spans="1:17">
      <c r="A177" s="213">
        <v>10020</v>
      </c>
      <c r="B177" s="886" t="s">
        <v>3552</v>
      </c>
      <c r="C177" s="888">
        <v>178</v>
      </c>
      <c r="D177" s="888">
        <v>25</v>
      </c>
      <c r="E177" s="888">
        <v>85</v>
      </c>
      <c r="F177" s="888">
        <v>210</v>
      </c>
      <c r="G177" s="888">
        <v>221</v>
      </c>
      <c r="H177" s="888">
        <v>1</v>
      </c>
      <c r="J177" s="329">
        <f t="shared" si="35"/>
        <v>178</v>
      </c>
      <c r="K177" s="330">
        <f t="shared" si="36"/>
        <v>-1.224</v>
      </c>
      <c r="L177" s="331">
        <f t="shared" si="37"/>
        <v>282.03999999999996</v>
      </c>
      <c r="M177" s="330">
        <f t="shared" si="38"/>
        <v>-2.2727272727272729</v>
      </c>
      <c r="N177" s="331">
        <f t="shared" si="39"/>
        <v>502.27272727272731</v>
      </c>
      <c r="P177" s="948">
        <v>0</v>
      </c>
      <c r="Q177" s="948">
        <v>0</v>
      </c>
    </row>
    <row r="178" spans="1:17">
      <c r="A178" s="213">
        <v>10021</v>
      </c>
      <c r="B178" s="886" t="s">
        <v>3553</v>
      </c>
      <c r="C178" s="888">
        <v>178</v>
      </c>
      <c r="D178" s="888">
        <v>25</v>
      </c>
      <c r="E178" s="888">
        <v>85</v>
      </c>
      <c r="F178" s="888">
        <v>210</v>
      </c>
      <c r="G178" s="888">
        <v>221</v>
      </c>
      <c r="H178" s="888">
        <v>1</v>
      </c>
      <c r="J178" s="329">
        <f t="shared" si="35"/>
        <v>178</v>
      </c>
      <c r="K178" s="330">
        <f t="shared" si="36"/>
        <v>-1.224</v>
      </c>
      <c r="L178" s="331">
        <f t="shared" si="37"/>
        <v>282.03999999999996</v>
      </c>
      <c r="M178" s="330">
        <f t="shared" si="38"/>
        <v>-2.2727272727272729</v>
      </c>
      <c r="N178" s="331">
        <f t="shared" si="39"/>
        <v>502.27272727272731</v>
      </c>
      <c r="P178" s="948">
        <v>0</v>
      </c>
      <c r="Q178" s="948">
        <v>0</v>
      </c>
    </row>
    <row r="179" spans="1:17">
      <c r="A179" s="213">
        <v>10022</v>
      </c>
      <c r="B179" s="886" t="s">
        <v>3554</v>
      </c>
      <c r="C179" s="888">
        <v>130</v>
      </c>
      <c r="D179" s="888">
        <v>25</v>
      </c>
      <c r="E179" s="888">
        <v>80</v>
      </c>
      <c r="F179" s="888">
        <v>165</v>
      </c>
      <c r="G179" s="888">
        <v>175</v>
      </c>
      <c r="H179" s="888">
        <v>1</v>
      </c>
      <c r="J179" s="329">
        <f t="shared" si="35"/>
        <v>130</v>
      </c>
      <c r="K179" s="330">
        <f t="shared" si="36"/>
        <v>-1.2352941176470589</v>
      </c>
      <c r="L179" s="331">
        <f t="shared" si="37"/>
        <v>228.8235294117647</v>
      </c>
      <c r="M179" s="330">
        <f t="shared" si="38"/>
        <v>-2.5</v>
      </c>
      <c r="N179" s="331">
        <f t="shared" si="39"/>
        <v>437.5</v>
      </c>
      <c r="P179" s="948">
        <v>0</v>
      </c>
      <c r="Q179" s="948">
        <v>0</v>
      </c>
    </row>
    <row r="180" spans="1:17">
      <c r="A180" s="213">
        <v>10023</v>
      </c>
      <c r="B180" s="886" t="s">
        <v>3555</v>
      </c>
      <c r="C180" s="888">
        <v>130</v>
      </c>
      <c r="D180" s="888">
        <v>25</v>
      </c>
      <c r="E180" s="888">
        <v>80</v>
      </c>
      <c r="F180" s="888">
        <v>165</v>
      </c>
      <c r="G180" s="888">
        <v>175</v>
      </c>
      <c r="H180" s="888">
        <v>1</v>
      </c>
      <c r="J180" s="329">
        <f t="shared" si="35"/>
        <v>130</v>
      </c>
      <c r="K180" s="330">
        <f t="shared" si="36"/>
        <v>-1.2352941176470589</v>
      </c>
      <c r="L180" s="331">
        <f t="shared" si="37"/>
        <v>228.8235294117647</v>
      </c>
      <c r="M180" s="330">
        <f t="shared" si="38"/>
        <v>-2.5</v>
      </c>
      <c r="N180" s="331">
        <f t="shared" si="39"/>
        <v>437.5</v>
      </c>
      <c r="P180" s="948">
        <v>0</v>
      </c>
      <c r="Q180" s="948">
        <v>0</v>
      </c>
    </row>
    <row r="181" spans="1:17">
      <c r="A181" s="213">
        <v>10024</v>
      </c>
      <c r="B181" s="886" t="s">
        <v>852</v>
      </c>
      <c r="C181" s="888">
        <v>150</v>
      </c>
      <c r="D181" s="888" t="s">
        <v>32</v>
      </c>
      <c r="E181" s="888">
        <v>100</v>
      </c>
      <c r="F181" s="888" t="s">
        <v>32</v>
      </c>
      <c r="G181" s="888">
        <v>200</v>
      </c>
      <c r="H181" s="888">
        <v>3</v>
      </c>
      <c r="J181" s="254">
        <f t="shared" ref="J181:J244" si="40">C181</f>
        <v>150</v>
      </c>
      <c r="K181" s="255">
        <f>C181/(E181-G181)</f>
        <v>-1.5</v>
      </c>
      <c r="L181" s="256">
        <f>C181-K181*E181</f>
        <v>300</v>
      </c>
      <c r="M181" s="255" t="s">
        <v>32</v>
      </c>
      <c r="N181" s="256" t="s">
        <v>32</v>
      </c>
      <c r="P181" s="948">
        <v>0</v>
      </c>
      <c r="Q181" s="948">
        <v>0</v>
      </c>
    </row>
    <row r="182" spans="1:17">
      <c r="A182" s="213">
        <v>10025</v>
      </c>
      <c r="B182" s="886" t="s">
        <v>3481</v>
      </c>
      <c r="C182" s="888">
        <v>150</v>
      </c>
      <c r="D182" s="888" t="s">
        <v>32</v>
      </c>
      <c r="E182" s="888">
        <v>100</v>
      </c>
      <c r="F182" s="888" t="s">
        <v>32</v>
      </c>
      <c r="G182" s="888">
        <v>200</v>
      </c>
      <c r="H182" s="888">
        <v>3</v>
      </c>
      <c r="J182" s="254">
        <f t="shared" si="40"/>
        <v>150</v>
      </c>
      <c r="K182" s="255">
        <f>C182/(E182-G182)</f>
        <v>-1.5</v>
      </c>
      <c r="L182" s="256">
        <f>C182-K182*E182</f>
        <v>300</v>
      </c>
      <c r="M182" s="255" t="s">
        <v>32</v>
      </c>
      <c r="N182" s="256" t="s">
        <v>32</v>
      </c>
      <c r="P182" s="948">
        <v>0</v>
      </c>
      <c r="Q182" s="948">
        <v>0</v>
      </c>
    </row>
    <row r="183" spans="1:17">
      <c r="A183" s="213">
        <v>10026</v>
      </c>
      <c r="B183" s="886" t="s">
        <v>3522</v>
      </c>
      <c r="C183" s="888">
        <v>15</v>
      </c>
      <c r="D183" s="888" t="s">
        <v>32</v>
      </c>
      <c r="E183" s="888">
        <v>43</v>
      </c>
      <c r="F183" s="888" t="s">
        <v>32</v>
      </c>
      <c r="G183" s="888">
        <v>50</v>
      </c>
      <c r="H183" s="888">
        <v>3</v>
      </c>
      <c r="J183" s="254">
        <f t="shared" si="40"/>
        <v>15</v>
      </c>
      <c r="K183" s="255">
        <f>C183/(E183-G183)</f>
        <v>-2.1428571428571428</v>
      </c>
      <c r="L183" s="256">
        <f>C183-K183*E183</f>
        <v>107.14285714285714</v>
      </c>
      <c r="M183" s="255" t="s">
        <v>32</v>
      </c>
      <c r="N183" s="256" t="s">
        <v>32</v>
      </c>
      <c r="P183" s="948">
        <v>0</v>
      </c>
      <c r="Q183" s="948">
        <v>0</v>
      </c>
    </row>
    <row r="184" spans="1:17">
      <c r="A184" s="213">
        <v>10027</v>
      </c>
      <c r="B184" s="886" t="s">
        <v>3724</v>
      </c>
      <c r="C184" s="888">
        <v>15</v>
      </c>
      <c r="D184" s="888" t="s">
        <v>32</v>
      </c>
      <c r="E184" s="888">
        <v>63</v>
      </c>
      <c r="F184" s="888" t="s">
        <v>32</v>
      </c>
      <c r="G184" s="888">
        <v>70</v>
      </c>
      <c r="H184" s="888">
        <v>3</v>
      </c>
      <c r="J184" s="254">
        <f t="shared" si="40"/>
        <v>15</v>
      </c>
      <c r="K184" s="255">
        <f>C184/(E184-G184)</f>
        <v>-2.1428571428571428</v>
      </c>
      <c r="L184" s="256">
        <f>C184-K184*E184</f>
        <v>150</v>
      </c>
      <c r="M184" s="255" t="s">
        <v>32</v>
      </c>
      <c r="N184" s="256" t="s">
        <v>32</v>
      </c>
      <c r="P184" s="948">
        <v>0</v>
      </c>
      <c r="Q184" s="948">
        <v>0</v>
      </c>
    </row>
    <row r="185" spans="1:17">
      <c r="A185" s="213">
        <v>10028</v>
      </c>
      <c r="B185" s="886" t="s">
        <v>3725</v>
      </c>
      <c r="C185" s="948">
        <v>15</v>
      </c>
      <c r="D185" s="948" t="s">
        <v>2501</v>
      </c>
      <c r="E185" s="948">
        <v>63</v>
      </c>
      <c r="F185" s="948" t="s">
        <v>2501</v>
      </c>
      <c r="G185" s="948">
        <v>70</v>
      </c>
      <c r="H185" s="948">
        <v>3</v>
      </c>
      <c r="J185" s="254">
        <f t="shared" si="40"/>
        <v>15</v>
      </c>
      <c r="K185" s="255">
        <f>C185/(E185-G185)</f>
        <v>-2.1428571428571428</v>
      </c>
      <c r="L185" s="256">
        <f>C185-K185*E185</f>
        <v>150</v>
      </c>
      <c r="M185" s="255" t="s">
        <v>32</v>
      </c>
      <c r="N185" s="256" t="s">
        <v>32</v>
      </c>
      <c r="P185" s="948">
        <v>0</v>
      </c>
      <c r="Q185" s="948">
        <v>0</v>
      </c>
    </row>
    <row r="186" spans="1:17">
      <c r="A186" s="213">
        <v>10029</v>
      </c>
      <c r="B186" s="769" t="s">
        <v>669</v>
      </c>
      <c r="C186" s="948">
        <v>24</v>
      </c>
      <c r="D186" s="948">
        <v>10</v>
      </c>
      <c r="E186" s="948">
        <v>15</v>
      </c>
      <c r="F186" s="948">
        <v>20</v>
      </c>
      <c r="G186" s="948">
        <v>20</v>
      </c>
      <c r="H186" s="948">
        <v>2</v>
      </c>
      <c r="J186" s="259">
        <f t="shared" si="40"/>
        <v>24</v>
      </c>
      <c r="K186" s="259">
        <f>(D186-C186)/(F186-E186)</f>
        <v>-2.8</v>
      </c>
      <c r="L186" s="259">
        <f>-(K186*E186-C186)</f>
        <v>66</v>
      </c>
      <c r="M186" s="259" t="s">
        <v>32</v>
      </c>
      <c r="N186" s="260" t="s">
        <v>32</v>
      </c>
      <c r="P186" s="948">
        <v>0</v>
      </c>
      <c r="Q186" s="948">
        <v>0</v>
      </c>
    </row>
    <row r="187" spans="1:17">
      <c r="A187" s="213">
        <v>10030</v>
      </c>
      <c r="B187" s="886" t="s">
        <v>1356</v>
      </c>
      <c r="C187" s="948">
        <v>175</v>
      </c>
      <c r="D187" s="948">
        <v>20</v>
      </c>
      <c r="E187" s="948">
        <v>75</v>
      </c>
      <c r="F187" s="948">
        <v>175</v>
      </c>
      <c r="G187" s="948">
        <v>180</v>
      </c>
      <c r="H187" s="948">
        <v>1</v>
      </c>
      <c r="J187" s="329">
        <f t="shared" si="40"/>
        <v>175</v>
      </c>
      <c r="K187" s="330">
        <f t="shared" ref="K187:K192" si="41">(D187-C187)/(F187-E187)</f>
        <v>-1.55</v>
      </c>
      <c r="L187" s="331">
        <f t="shared" ref="L187:L192" si="42">-(K187*E187-C187)</f>
        <v>291.25</v>
      </c>
      <c r="M187" s="330">
        <f>D187/(F187-G187)</f>
        <v>-4</v>
      </c>
      <c r="N187" s="331">
        <f>-(M187*F187-D187)</f>
        <v>720</v>
      </c>
      <c r="P187" s="948">
        <v>0</v>
      </c>
      <c r="Q187" s="948">
        <v>0</v>
      </c>
    </row>
    <row r="188" spans="1:17">
      <c r="A188" s="213">
        <v>10031</v>
      </c>
      <c r="B188" s="886" t="s">
        <v>1357</v>
      </c>
      <c r="C188" s="888">
        <v>175</v>
      </c>
      <c r="D188" s="888">
        <v>20</v>
      </c>
      <c r="E188" s="888">
        <v>75</v>
      </c>
      <c r="F188" s="888">
        <v>175</v>
      </c>
      <c r="G188" s="888">
        <v>180</v>
      </c>
      <c r="H188" s="888">
        <v>1</v>
      </c>
      <c r="J188" s="329">
        <f t="shared" si="40"/>
        <v>175</v>
      </c>
      <c r="K188" s="330">
        <f t="shared" si="41"/>
        <v>-1.55</v>
      </c>
      <c r="L188" s="331">
        <f t="shared" si="42"/>
        <v>291.25</v>
      </c>
      <c r="M188" s="330">
        <f>D188/(F188-G188)</f>
        <v>-4</v>
      </c>
      <c r="N188" s="331">
        <f>-(M188*F188-D188)</f>
        <v>720</v>
      </c>
      <c r="P188" s="948">
        <v>0</v>
      </c>
      <c r="Q188" s="948">
        <v>0</v>
      </c>
    </row>
    <row r="189" spans="1:17">
      <c r="A189" s="213">
        <v>10032</v>
      </c>
      <c r="B189" s="886" t="s">
        <v>2324</v>
      </c>
      <c r="C189" s="888">
        <v>127</v>
      </c>
      <c r="D189" s="888">
        <v>25</v>
      </c>
      <c r="E189" s="888">
        <v>80</v>
      </c>
      <c r="F189" s="888">
        <v>165</v>
      </c>
      <c r="G189" s="888">
        <v>165</v>
      </c>
      <c r="H189" s="888">
        <v>2</v>
      </c>
      <c r="J189" s="259">
        <f t="shared" si="40"/>
        <v>127</v>
      </c>
      <c r="K189" s="259">
        <f t="shared" si="41"/>
        <v>-1.2</v>
      </c>
      <c r="L189" s="259">
        <f t="shared" si="42"/>
        <v>223</v>
      </c>
      <c r="M189" s="259" t="s">
        <v>32</v>
      </c>
      <c r="N189" s="260" t="s">
        <v>32</v>
      </c>
      <c r="P189" s="948">
        <v>0</v>
      </c>
      <c r="Q189" s="948">
        <v>0</v>
      </c>
    </row>
    <row r="190" spans="1:17">
      <c r="A190" s="213">
        <v>10033</v>
      </c>
      <c r="B190" s="886" t="s">
        <v>234</v>
      </c>
      <c r="C190" s="888">
        <v>177</v>
      </c>
      <c r="D190" s="888">
        <v>25</v>
      </c>
      <c r="E190" s="888">
        <v>85</v>
      </c>
      <c r="F190" s="888">
        <v>210</v>
      </c>
      <c r="G190" s="888">
        <v>210</v>
      </c>
      <c r="H190" s="888">
        <v>2</v>
      </c>
      <c r="J190" s="259">
        <f t="shared" si="40"/>
        <v>177</v>
      </c>
      <c r="K190" s="259">
        <f t="shared" si="41"/>
        <v>-1.216</v>
      </c>
      <c r="L190" s="259">
        <f t="shared" si="42"/>
        <v>280.36</v>
      </c>
      <c r="M190" s="259" t="s">
        <v>32</v>
      </c>
      <c r="N190" s="260" t="s">
        <v>32</v>
      </c>
      <c r="P190" s="948">
        <v>0</v>
      </c>
      <c r="Q190" s="948">
        <v>0</v>
      </c>
    </row>
    <row r="191" spans="1:17">
      <c r="A191" s="213">
        <v>10034</v>
      </c>
      <c r="B191" s="886" t="s">
        <v>2743</v>
      </c>
      <c r="C191" s="888">
        <v>177</v>
      </c>
      <c r="D191" s="888">
        <v>25</v>
      </c>
      <c r="E191" s="948">
        <v>85</v>
      </c>
      <c r="F191" s="888">
        <v>210</v>
      </c>
      <c r="G191" s="888">
        <v>210</v>
      </c>
      <c r="H191" s="888">
        <v>2</v>
      </c>
      <c r="J191" s="259">
        <f t="shared" si="40"/>
        <v>177</v>
      </c>
      <c r="K191" s="259">
        <f t="shared" si="41"/>
        <v>-1.216</v>
      </c>
      <c r="L191" s="259">
        <f t="shared" si="42"/>
        <v>280.36</v>
      </c>
      <c r="M191" s="259" t="s">
        <v>32</v>
      </c>
      <c r="N191" s="260" t="s">
        <v>32</v>
      </c>
      <c r="P191" s="948">
        <v>0</v>
      </c>
      <c r="Q191" s="948">
        <v>0</v>
      </c>
    </row>
    <row r="192" spans="1:17">
      <c r="A192" s="213">
        <v>10035</v>
      </c>
      <c r="B192" s="886" t="s">
        <v>2397</v>
      </c>
      <c r="C192" s="888">
        <v>165</v>
      </c>
      <c r="D192" s="888">
        <v>25</v>
      </c>
      <c r="E192" s="888">
        <v>80</v>
      </c>
      <c r="F192" s="888">
        <v>165</v>
      </c>
      <c r="G192" s="888">
        <v>165</v>
      </c>
      <c r="H192" s="888">
        <v>2</v>
      </c>
      <c r="J192" s="259">
        <f t="shared" si="40"/>
        <v>165</v>
      </c>
      <c r="K192" s="259">
        <f t="shared" si="41"/>
        <v>-1.6470588235294117</v>
      </c>
      <c r="L192" s="259">
        <f t="shared" si="42"/>
        <v>296.76470588235293</v>
      </c>
      <c r="M192" s="259" t="s">
        <v>32</v>
      </c>
      <c r="N192" s="260" t="s">
        <v>32</v>
      </c>
      <c r="P192" s="948">
        <v>0</v>
      </c>
      <c r="Q192" s="948">
        <v>0</v>
      </c>
    </row>
    <row r="193" spans="1:17">
      <c r="A193" s="213">
        <v>10036</v>
      </c>
      <c r="B193" s="886" t="s">
        <v>1908</v>
      </c>
      <c r="C193" s="888">
        <v>118</v>
      </c>
      <c r="D193" s="888" t="s">
        <v>32</v>
      </c>
      <c r="E193" s="888">
        <v>100</v>
      </c>
      <c r="F193" s="888" t="s">
        <v>32</v>
      </c>
      <c r="G193" s="888">
        <v>200</v>
      </c>
      <c r="H193" s="888">
        <v>3</v>
      </c>
      <c r="J193" s="254">
        <f t="shared" si="40"/>
        <v>118</v>
      </c>
      <c r="K193" s="255">
        <f>C193/(E193-G193)</f>
        <v>-1.18</v>
      </c>
      <c r="L193" s="256">
        <f>C193-K193*E193</f>
        <v>236</v>
      </c>
      <c r="M193" s="255" t="s">
        <v>32</v>
      </c>
      <c r="N193" s="256" t="s">
        <v>32</v>
      </c>
      <c r="P193" s="948">
        <v>0</v>
      </c>
      <c r="Q193" s="948">
        <v>0</v>
      </c>
    </row>
    <row r="194" spans="1:17">
      <c r="A194" s="213">
        <v>10037</v>
      </c>
      <c r="B194" s="886" t="s">
        <v>2026</v>
      </c>
      <c r="C194" s="888">
        <v>200</v>
      </c>
      <c r="D194" s="888">
        <v>25</v>
      </c>
      <c r="E194" s="888">
        <v>175</v>
      </c>
      <c r="F194" s="888">
        <v>350</v>
      </c>
      <c r="G194" s="888">
        <v>350</v>
      </c>
      <c r="H194" s="888">
        <v>2</v>
      </c>
      <c r="J194" s="259">
        <f t="shared" si="40"/>
        <v>200</v>
      </c>
      <c r="K194" s="259">
        <f t="shared" ref="K194:K201" si="43">(D194-C194)/(F194-E194)</f>
        <v>-1</v>
      </c>
      <c r="L194" s="259">
        <f t="shared" ref="L194:L201" si="44">-(K194*E194-C194)</f>
        <v>375</v>
      </c>
      <c r="M194" s="259" t="s">
        <v>32</v>
      </c>
      <c r="N194" s="260" t="s">
        <v>32</v>
      </c>
      <c r="P194" s="948">
        <v>0</v>
      </c>
      <c r="Q194" s="948">
        <v>0</v>
      </c>
    </row>
    <row r="195" spans="1:17">
      <c r="A195" s="213">
        <v>10038</v>
      </c>
      <c r="B195" s="886" t="s">
        <v>3843</v>
      </c>
      <c r="C195" s="888">
        <v>200</v>
      </c>
      <c r="D195" s="888">
        <v>25</v>
      </c>
      <c r="E195" s="888">
        <v>175</v>
      </c>
      <c r="F195" s="888">
        <v>350</v>
      </c>
      <c r="G195" s="888">
        <v>350</v>
      </c>
      <c r="H195" s="888">
        <v>2</v>
      </c>
      <c r="J195" s="259">
        <f t="shared" si="40"/>
        <v>200</v>
      </c>
      <c r="K195" s="259">
        <f t="shared" si="43"/>
        <v>-1</v>
      </c>
      <c r="L195" s="259">
        <f t="shared" si="44"/>
        <v>375</v>
      </c>
      <c r="M195" s="259" t="s">
        <v>32</v>
      </c>
      <c r="N195" s="260" t="s">
        <v>32</v>
      </c>
      <c r="P195" s="948">
        <v>0</v>
      </c>
      <c r="Q195" s="948">
        <v>0</v>
      </c>
    </row>
    <row r="196" spans="1:17">
      <c r="A196" s="213">
        <v>10039</v>
      </c>
      <c r="B196" s="886" t="s">
        <v>3467</v>
      </c>
      <c r="C196" s="888">
        <v>12</v>
      </c>
      <c r="D196" s="888">
        <v>12</v>
      </c>
      <c r="E196" s="888">
        <v>10</v>
      </c>
      <c r="F196" s="888">
        <v>10</v>
      </c>
      <c r="G196" s="888">
        <v>10</v>
      </c>
      <c r="H196" s="888">
        <v>2</v>
      </c>
      <c r="J196" s="259">
        <f t="shared" si="40"/>
        <v>12</v>
      </c>
      <c r="K196" s="259" t="e">
        <f t="shared" si="43"/>
        <v>#DIV/0!</v>
      </c>
      <c r="L196" s="259" t="e">
        <f t="shared" si="44"/>
        <v>#DIV/0!</v>
      </c>
      <c r="M196" s="259" t="s">
        <v>32</v>
      </c>
      <c r="N196" s="260" t="s">
        <v>32</v>
      </c>
      <c r="P196" s="948">
        <v>0</v>
      </c>
      <c r="Q196" s="948">
        <v>0</v>
      </c>
    </row>
    <row r="197" spans="1:17">
      <c r="A197" s="213">
        <v>10040</v>
      </c>
      <c r="B197" s="886" t="s">
        <v>100</v>
      </c>
      <c r="C197" s="888">
        <v>18</v>
      </c>
      <c r="D197" s="888">
        <v>12</v>
      </c>
      <c r="E197" s="888">
        <v>0</v>
      </c>
      <c r="F197" s="888">
        <v>6</v>
      </c>
      <c r="G197" s="888">
        <v>6</v>
      </c>
      <c r="H197" s="888">
        <v>2</v>
      </c>
      <c r="J197" s="259">
        <f t="shared" si="40"/>
        <v>18</v>
      </c>
      <c r="K197" s="259">
        <f t="shared" si="43"/>
        <v>-1</v>
      </c>
      <c r="L197" s="259">
        <f t="shared" si="44"/>
        <v>18</v>
      </c>
      <c r="M197" s="259" t="s">
        <v>32</v>
      </c>
      <c r="N197" s="260" t="s">
        <v>32</v>
      </c>
      <c r="P197" s="948">
        <v>0</v>
      </c>
      <c r="Q197" s="948">
        <v>0</v>
      </c>
    </row>
    <row r="198" spans="1:17">
      <c r="A198" s="213">
        <v>10041</v>
      </c>
      <c r="B198" s="886" t="s">
        <v>1232</v>
      </c>
      <c r="C198" s="888">
        <v>18</v>
      </c>
      <c r="D198" s="888">
        <v>12</v>
      </c>
      <c r="E198" s="888">
        <v>0</v>
      </c>
      <c r="F198" s="888">
        <v>6</v>
      </c>
      <c r="G198" s="888">
        <v>6</v>
      </c>
      <c r="H198" s="888">
        <v>2</v>
      </c>
      <c r="J198" s="259">
        <f t="shared" si="40"/>
        <v>18</v>
      </c>
      <c r="K198" s="259">
        <f t="shared" si="43"/>
        <v>-1</v>
      </c>
      <c r="L198" s="259">
        <f t="shared" si="44"/>
        <v>18</v>
      </c>
      <c r="M198" s="259" t="s">
        <v>32</v>
      </c>
      <c r="N198" s="260" t="s">
        <v>32</v>
      </c>
      <c r="P198" s="948">
        <v>0</v>
      </c>
      <c r="Q198" s="948">
        <v>0</v>
      </c>
    </row>
    <row r="199" spans="1:17">
      <c r="A199" s="213">
        <v>10042</v>
      </c>
      <c r="B199" s="886" t="s">
        <v>3319</v>
      </c>
      <c r="C199" s="888">
        <v>20</v>
      </c>
      <c r="D199" s="888">
        <v>12</v>
      </c>
      <c r="E199" s="888">
        <v>12</v>
      </c>
      <c r="F199" s="888">
        <v>20</v>
      </c>
      <c r="G199" s="888">
        <v>20</v>
      </c>
      <c r="H199" s="888">
        <v>2</v>
      </c>
      <c r="J199" s="259">
        <f t="shared" si="40"/>
        <v>20</v>
      </c>
      <c r="K199" s="259">
        <f t="shared" si="43"/>
        <v>-1</v>
      </c>
      <c r="L199" s="259">
        <f t="shared" si="44"/>
        <v>32</v>
      </c>
      <c r="M199" s="259" t="s">
        <v>32</v>
      </c>
      <c r="N199" s="260" t="s">
        <v>32</v>
      </c>
      <c r="P199" s="948">
        <v>0</v>
      </c>
      <c r="Q199" s="948">
        <v>0</v>
      </c>
    </row>
    <row r="200" spans="1:17">
      <c r="A200" s="213">
        <v>10043</v>
      </c>
      <c r="B200" s="886" t="s">
        <v>1890</v>
      </c>
      <c r="C200" s="888">
        <v>18</v>
      </c>
      <c r="D200" s="888">
        <v>12</v>
      </c>
      <c r="E200" s="888">
        <v>0</v>
      </c>
      <c r="F200" s="888">
        <v>6</v>
      </c>
      <c r="G200" s="888">
        <v>6</v>
      </c>
      <c r="H200" s="888">
        <v>2</v>
      </c>
      <c r="J200" s="259">
        <f t="shared" si="40"/>
        <v>18</v>
      </c>
      <c r="K200" s="259">
        <f t="shared" si="43"/>
        <v>-1</v>
      </c>
      <c r="L200" s="259">
        <f t="shared" si="44"/>
        <v>18</v>
      </c>
      <c r="M200" s="259" t="s">
        <v>32</v>
      </c>
      <c r="N200" s="260" t="s">
        <v>32</v>
      </c>
      <c r="P200" s="948">
        <v>0</v>
      </c>
      <c r="Q200" s="948">
        <v>0</v>
      </c>
    </row>
    <row r="201" spans="1:17">
      <c r="A201" s="213">
        <v>10044</v>
      </c>
      <c r="B201" s="886" t="s">
        <v>1197</v>
      </c>
      <c r="C201" s="888">
        <v>18</v>
      </c>
      <c r="D201" s="888">
        <v>12</v>
      </c>
      <c r="E201" s="888">
        <v>0</v>
      </c>
      <c r="F201" s="888">
        <v>6</v>
      </c>
      <c r="G201" s="888">
        <v>6</v>
      </c>
      <c r="H201" s="888">
        <v>2</v>
      </c>
      <c r="J201" s="259">
        <f t="shared" si="40"/>
        <v>18</v>
      </c>
      <c r="K201" s="259">
        <f t="shared" si="43"/>
        <v>-1</v>
      </c>
      <c r="L201" s="259">
        <f t="shared" si="44"/>
        <v>18</v>
      </c>
      <c r="M201" s="259" t="s">
        <v>32</v>
      </c>
      <c r="N201" s="260" t="s">
        <v>32</v>
      </c>
      <c r="P201" s="948">
        <v>0</v>
      </c>
      <c r="Q201" s="948">
        <v>0</v>
      </c>
    </row>
    <row r="202" spans="1:17">
      <c r="A202" s="213">
        <v>10045</v>
      </c>
      <c r="B202" s="886" t="s">
        <v>187</v>
      </c>
      <c r="C202" s="888">
        <v>140</v>
      </c>
      <c r="D202" s="888">
        <v>25</v>
      </c>
      <c r="E202" s="888">
        <v>80</v>
      </c>
      <c r="F202" s="888">
        <v>165</v>
      </c>
      <c r="G202" s="888">
        <v>175</v>
      </c>
      <c r="H202" s="888">
        <v>1</v>
      </c>
      <c r="J202" s="245">
        <f t="shared" si="40"/>
        <v>140</v>
      </c>
      <c r="K202" s="257">
        <f>(D202-C202)/(F202-E202)</f>
        <v>-1.3529411764705883</v>
      </c>
      <c r="L202" s="258">
        <f>-(K202*E202-C202)</f>
        <v>248.23529411764707</v>
      </c>
      <c r="M202" s="257">
        <f>D202/(F202-G202)</f>
        <v>-2.5</v>
      </c>
      <c r="N202" s="258">
        <f>-(M202*F202-D202)</f>
        <v>437.5</v>
      </c>
      <c r="P202" s="948">
        <v>0</v>
      </c>
      <c r="Q202" s="948">
        <v>0</v>
      </c>
    </row>
    <row r="203" spans="1:17">
      <c r="A203" s="213">
        <v>10046</v>
      </c>
      <c r="B203" s="886" t="s">
        <v>3561</v>
      </c>
      <c r="C203" s="888">
        <v>140</v>
      </c>
      <c r="D203" s="888">
        <v>25</v>
      </c>
      <c r="E203" s="888">
        <v>80</v>
      </c>
      <c r="F203" s="888">
        <v>165</v>
      </c>
      <c r="G203" s="888">
        <v>175</v>
      </c>
      <c r="H203" s="888">
        <v>1</v>
      </c>
      <c r="J203" s="245">
        <f t="shared" si="40"/>
        <v>140</v>
      </c>
      <c r="K203" s="257">
        <f>(D203-C203)/(F203-E203)</f>
        <v>-1.3529411764705883</v>
      </c>
      <c r="L203" s="258">
        <f>-(K203*E203-C203)</f>
        <v>248.23529411764707</v>
      </c>
      <c r="M203" s="257">
        <f>D203/(F203-G203)</f>
        <v>-2.5</v>
      </c>
      <c r="N203" s="258">
        <f>-(M203*F203-D203)</f>
        <v>437.5</v>
      </c>
      <c r="P203" s="948">
        <v>0</v>
      </c>
      <c r="Q203" s="948">
        <v>0</v>
      </c>
    </row>
    <row r="204" spans="1:17">
      <c r="A204" s="213">
        <v>10047</v>
      </c>
      <c r="B204" s="886" t="s">
        <v>1961</v>
      </c>
      <c r="C204" s="888">
        <v>100</v>
      </c>
      <c r="D204" s="888" t="s">
        <v>32</v>
      </c>
      <c r="E204" s="888">
        <v>70</v>
      </c>
      <c r="F204" s="888" t="s">
        <v>32</v>
      </c>
      <c r="G204" s="888">
        <v>100</v>
      </c>
      <c r="H204" s="888">
        <v>3</v>
      </c>
      <c r="I204" s="436"/>
      <c r="J204" s="254">
        <f t="shared" si="40"/>
        <v>100</v>
      </c>
      <c r="K204" s="255">
        <f>C204/(E204-G204)</f>
        <v>-3.3333333333333335</v>
      </c>
      <c r="L204" s="256">
        <f>C204-K204*E204</f>
        <v>333.33333333333337</v>
      </c>
      <c r="M204" s="255" t="s">
        <v>32</v>
      </c>
      <c r="N204" s="256" t="s">
        <v>32</v>
      </c>
      <c r="P204" s="948">
        <v>0</v>
      </c>
      <c r="Q204" s="948">
        <v>0</v>
      </c>
    </row>
    <row r="205" spans="1:17">
      <c r="A205" s="437">
        <v>10048</v>
      </c>
      <c r="B205" s="886" t="s">
        <v>1962</v>
      </c>
      <c r="C205" s="888">
        <v>100</v>
      </c>
      <c r="D205" s="888" t="s">
        <v>32</v>
      </c>
      <c r="E205" s="888">
        <v>70</v>
      </c>
      <c r="F205" s="888" t="s">
        <v>32</v>
      </c>
      <c r="G205" s="888">
        <v>100</v>
      </c>
      <c r="H205" s="888">
        <v>3</v>
      </c>
      <c r="I205" s="436"/>
      <c r="J205" s="254">
        <f t="shared" si="40"/>
        <v>100</v>
      </c>
      <c r="K205" s="255">
        <f>C205/(E205-G205)</f>
        <v>-3.3333333333333335</v>
      </c>
      <c r="L205" s="256">
        <f>C205-K205*E205</f>
        <v>333.33333333333337</v>
      </c>
      <c r="M205" s="255" t="s">
        <v>32</v>
      </c>
      <c r="N205" s="256" t="s">
        <v>32</v>
      </c>
      <c r="P205" s="948">
        <v>0</v>
      </c>
      <c r="Q205" s="948">
        <v>0</v>
      </c>
    </row>
    <row r="206" spans="1:17">
      <c r="A206" s="437">
        <v>10049</v>
      </c>
      <c r="B206" s="886" t="s">
        <v>3267</v>
      </c>
      <c r="C206" s="888">
        <v>110</v>
      </c>
      <c r="D206" s="888">
        <v>10</v>
      </c>
      <c r="E206" s="888">
        <v>70</v>
      </c>
      <c r="F206" s="888">
        <v>150</v>
      </c>
      <c r="G206" s="888">
        <v>150</v>
      </c>
      <c r="H206" s="888">
        <v>2</v>
      </c>
      <c r="I206" s="436"/>
      <c r="J206" s="259">
        <f t="shared" si="40"/>
        <v>110</v>
      </c>
      <c r="K206" s="259">
        <f>(D206-C206)/(F206-E206)</f>
        <v>-1.25</v>
      </c>
      <c r="L206" s="259">
        <f>-(K206*E206-C206)</f>
        <v>197.5</v>
      </c>
      <c r="M206" s="259" t="s">
        <v>32</v>
      </c>
      <c r="N206" s="260" t="s">
        <v>32</v>
      </c>
      <c r="P206" s="948">
        <v>0</v>
      </c>
      <c r="Q206" s="948">
        <v>0</v>
      </c>
    </row>
    <row r="207" spans="1:17">
      <c r="A207" s="437">
        <v>10050</v>
      </c>
      <c r="B207" s="886" t="s">
        <v>1370</v>
      </c>
      <c r="C207" s="888">
        <v>110</v>
      </c>
      <c r="D207" s="888">
        <v>10</v>
      </c>
      <c r="E207" s="888">
        <v>70</v>
      </c>
      <c r="F207" s="888">
        <v>150</v>
      </c>
      <c r="G207" s="888">
        <v>150</v>
      </c>
      <c r="H207" s="888">
        <v>2</v>
      </c>
      <c r="I207" s="436"/>
      <c r="J207" s="259">
        <f t="shared" si="40"/>
        <v>110</v>
      </c>
      <c r="K207" s="259">
        <f>(D207-C207)/(F207-E207)</f>
        <v>-1.25</v>
      </c>
      <c r="L207" s="259">
        <f>-(K207*E207-C207)</f>
        <v>197.5</v>
      </c>
      <c r="M207" s="259" t="s">
        <v>32</v>
      </c>
      <c r="N207" s="260" t="s">
        <v>32</v>
      </c>
      <c r="P207" s="948">
        <v>0</v>
      </c>
      <c r="Q207" s="948">
        <v>0</v>
      </c>
    </row>
    <row r="208" spans="1:17">
      <c r="A208" s="437">
        <v>10051</v>
      </c>
      <c r="B208" s="886" t="s">
        <v>439</v>
      </c>
      <c r="C208" s="888">
        <v>130</v>
      </c>
      <c r="D208" s="888">
        <v>25</v>
      </c>
      <c r="E208" s="888">
        <v>80</v>
      </c>
      <c r="F208" s="888">
        <v>170</v>
      </c>
      <c r="G208" s="888">
        <v>175</v>
      </c>
      <c r="H208" s="888">
        <v>1</v>
      </c>
      <c r="I208" s="436"/>
      <c r="J208" s="245">
        <f t="shared" si="40"/>
        <v>130</v>
      </c>
      <c r="K208" s="257">
        <f>(D208-C208)/(F208-E208)</f>
        <v>-1.1666666666666667</v>
      </c>
      <c r="L208" s="258">
        <f>-(K208*E208-C208)</f>
        <v>223.33333333333334</v>
      </c>
      <c r="M208" s="257">
        <f>D208/(F208-G208)</f>
        <v>-5</v>
      </c>
      <c r="N208" s="258">
        <f>-(M208*F208-D208)</f>
        <v>875</v>
      </c>
      <c r="P208" s="948">
        <v>0</v>
      </c>
      <c r="Q208" s="948">
        <v>0</v>
      </c>
    </row>
    <row r="209" spans="1:17">
      <c r="A209" s="437">
        <v>10052</v>
      </c>
      <c r="B209" s="886" t="s">
        <v>2463</v>
      </c>
      <c r="C209" s="888">
        <v>130</v>
      </c>
      <c r="D209" s="888">
        <v>25</v>
      </c>
      <c r="E209" s="888">
        <v>80</v>
      </c>
      <c r="F209" s="888">
        <v>170</v>
      </c>
      <c r="G209" s="888">
        <v>175</v>
      </c>
      <c r="H209" s="888">
        <v>1</v>
      </c>
      <c r="I209" s="436"/>
      <c r="J209" s="245">
        <f t="shared" si="40"/>
        <v>130</v>
      </c>
      <c r="K209" s="257">
        <f>(D209-C209)/(F209-E209)</f>
        <v>-1.1666666666666667</v>
      </c>
      <c r="L209" s="258">
        <f>-(K209*E209-C209)</f>
        <v>223.33333333333334</v>
      </c>
      <c r="M209" s="257">
        <f>D209/(F209-G209)</f>
        <v>-5</v>
      </c>
      <c r="N209" s="258">
        <f>-(M209*F209-D209)</f>
        <v>875</v>
      </c>
      <c r="P209" s="948">
        <v>0</v>
      </c>
      <c r="Q209" s="948">
        <v>0</v>
      </c>
    </row>
    <row r="210" spans="1:17">
      <c r="A210" s="437">
        <v>10053</v>
      </c>
      <c r="B210" s="886" t="s">
        <v>2739</v>
      </c>
      <c r="C210" s="888">
        <v>1</v>
      </c>
      <c r="D210" s="888" t="s">
        <v>2501</v>
      </c>
      <c r="E210" s="888">
        <v>4</v>
      </c>
      <c r="F210" s="888" t="s">
        <v>2501</v>
      </c>
      <c r="G210" s="888">
        <v>5</v>
      </c>
      <c r="H210" s="888">
        <v>3</v>
      </c>
      <c r="I210" s="436"/>
      <c r="J210" s="254">
        <f t="shared" si="40"/>
        <v>1</v>
      </c>
      <c r="K210" s="255">
        <f>C210/(E210-G210)</f>
        <v>-1</v>
      </c>
      <c r="L210" s="256">
        <f>C210-K210*E210</f>
        <v>5</v>
      </c>
      <c r="M210" s="255" t="s">
        <v>32</v>
      </c>
      <c r="N210" s="256" t="s">
        <v>32</v>
      </c>
      <c r="P210" s="948">
        <v>0</v>
      </c>
      <c r="Q210" s="948">
        <v>0</v>
      </c>
    </row>
    <row r="211" spans="1:17">
      <c r="A211" s="437">
        <v>10054</v>
      </c>
      <c r="B211" s="886" t="s">
        <v>3592</v>
      </c>
      <c r="C211" s="888">
        <v>1</v>
      </c>
      <c r="D211" s="888" t="s">
        <v>2501</v>
      </c>
      <c r="E211" s="888">
        <v>4</v>
      </c>
      <c r="F211" s="888" t="s">
        <v>2501</v>
      </c>
      <c r="G211" s="888">
        <v>5</v>
      </c>
      <c r="H211" s="888">
        <v>3</v>
      </c>
      <c r="J211" s="254">
        <f t="shared" si="40"/>
        <v>1</v>
      </c>
      <c r="K211" s="255">
        <f>C211/(E211-G211)</f>
        <v>-1</v>
      </c>
      <c r="L211" s="256">
        <f>C211-K211*E211</f>
        <v>5</v>
      </c>
      <c r="M211" s="255" t="s">
        <v>32</v>
      </c>
      <c r="N211" s="256" t="s">
        <v>32</v>
      </c>
      <c r="P211" s="948">
        <v>0</v>
      </c>
      <c r="Q211" s="948">
        <v>0</v>
      </c>
    </row>
    <row r="212" spans="1:17">
      <c r="A212" s="437">
        <v>10055</v>
      </c>
      <c r="B212" s="886" t="s">
        <v>2996</v>
      </c>
      <c r="C212" s="888">
        <v>1</v>
      </c>
      <c r="D212" s="888" t="s">
        <v>2501</v>
      </c>
      <c r="E212" s="888">
        <v>4</v>
      </c>
      <c r="F212" s="888" t="s">
        <v>2501</v>
      </c>
      <c r="G212" s="888">
        <v>5</v>
      </c>
      <c r="H212" s="888">
        <v>3</v>
      </c>
      <c r="J212" s="254">
        <f t="shared" si="40"/>
        <v>1</v>
      </c>
      <c r="K212" s="255">
        <f>C212/(E212-G212)</f>
        <v>-1</v>
      </c>
      <c r="L212" s="256">
        <f>C212-K212*E212</f>
        <v>5</v>
      </c>
      <c r="M212" s="255" t="s">
        <v>32</v>
      </c>
      <c r="N212" s="256" t="s">
        <v>32</v>
      </c>
      <c r="P212" s="948">
        <v>0</v>
      </c>
      <c r="Q212" s="948">
        <v>0</v>
      </c>
    </row>
    <row r="213" spans="1:17">
      <c r="A213" s="437">
        <v>10056</v>
      </c>
      <c r="B213" s="886" t="s">
        <v>651</v>
      </c>
      <c r="C213" s="888">
        <v>1</v>
      </c>
      <c r="D213" s="888" t="s">
        <v>2501</v>
      </c>
      <c r="E213" s="888">
        <v>4</v>
      </c>
      <c r="F213" s="888" t="s">
        <v>2501</v>
      </c>
      <c r="G213" s="888">
        <v>5</v>
      </c>
      <c r="H213" s="888">
        <v>3</v>
      </c>
      <c r="J213" s="254">
        <f t="shared" si="40"/>
        <v>1</v>
      </c>
      <c r="K213" s="255">
        <f>C213/(E213-G213)</f>
        <v>-1</v>
      </c>
      <c r="L213" s="256">
        <f>C213-K213*E213</f>
        <v>5</v>
      </c>
      <c r="M213" s="255" t="s">
        <v>32</v>
      </c>
      <c r="N213" s="256" t="s">
        <v>32</v>
      </c>
      <c r="P213" s="948">
        <v>0</v>
      </c>
      <c r="Q213" s="948">
        <v>0</v>
      </c>
    </row>
    <row r="214" spans="1:17">
      <c r="A214" s="437">
        <v>10057</v>
      </c>
      <c r="B214" s="886" t="s">
        <v>3650</v>
      </c>
      <c r="C214" s="888">
        <v>1</v>
      </c>
      <c r="D214" s="888" t="s">
        <v>2501</v>
      </c>
      <c r="E214" s="888">
        <v>4</v>
      </c>
      <c r="F214" s="888" t="s">
        <v>2501</v>
      </c>
      <c r="G214" s="888">
        <v>5</v>
      </c>
      <c r="H214" s="888">
        <v>3</v>
      </c>
      <c r="J214" s="254">
        <f t="shared" si="40"/>
        <v>1</v>
      </c>
      <c r="K214" s="255">
        <f>C214/(E214-G214)</f>
        <v>-1</v>
      </c>
      <c r="L214" s="256">
        <f>C214-K214*E214</f>
        <v>5</v>
      </c>
      <c r="M214" s="255" t="s">
        <v>32</v>
      </c>
      <c r="N214" s="256" t="s">
        <v>32</v>
      </c>
      <c r="P214" s="948">
        <v>0</v>
      </c>
      <c r="Q214" s="948">
        <v>0</v>
      </c>
    </row>
    <row r="215" spans="1:17">
      <c r="A215" s="437">
        <v>10058</v>
      </c>
      <c r="B215" s="886" t="s">
        <v>3139</v>
      </c>
      <c r="C215" s="888">
        <v>22</v>
      </c>
      <c r="D215" s="888">
        <v>12</v>
      </c>
      <c r="E215" s="888">
        <v>0</v>
      </c>
      <c r="F215" s="888">
        <v>10</v>
      </c>
      <c r="G215" s="888">
        <v>10</v>
      </c>
      <c r="H215" s="888">
        <v>2</v>
      </c>
      <c r="J215" s="259">
        <f t="shared" si="40"/>
        <v>22</v>
      </c>
      <c r="K215" s="259">
        <f>(D215-C215)/(F215-E215)</f>
        <v>-1</v>
      </c>
      <c r="L215" s="259">
        <f>-(K215*E215-C215)</f>
        <v>22</v>
      </c>
      <c r="M215" s="259" t="s">
        <v>32</v>
      </c>
      <c r="N215" s="260" t="s">
        <v>32</v>
      </c>
      <c r="P215" s="948">
        <v>0</v>
      </c>
      <c r="Q215" s="948">
        <v>0</v>
      </c>
    </row>
    <row r="216" spans="1:17">
      <c r="A216" s="437">
        <v>10059</v>
      </c>
      <c r="B216" s="886" t="s">
        <v>637</v>
      </c>
      <c r="C216" s="888">
        <v>18</v>
      </c>
      <c r="D216" s="888">
        <v>12</v>
      </c>
      <c r="E216" s="888">
        <v>0</v>
      </c>
      <c r="F216" s="888">
        <v>6</v>
      </c>
      <c r="G216" s="888">
        <v>6</v>
      </c>
      <c r="H216" s="888">
        <v>2</v>
      </c>
      <c r="J216" s="259">
        <f t="shared" si="40"/>
        <v>18</v>
      </c>
      <c r="K216" s="259">
        <f>(D216-C216)/(F216-E216)</f>
        <v>-1</v>
      </c>
      <c r="L216" s="259">
        <f>-(K216*E216-C216)</f>
        <v>18</v>
      </c>
      <c r="M216" s="259" t="s">
        <v>32</v>
      </c>
      <c r="N216" s="260" t="s">
        <v>32</v>
      </c>
      <c r="P216" s="948">
        <v>0</v>
      </c>
      <c r="Q216" s="948">
        <v>0</v>
      </c>
    </row>
    <row r="217" spans="1:17">
      <c r="A217" s="437">
        <v>10060</v>
      </c>
      <c r="B217" s="886" t="s">
        <v>3367</v>
      </c>
      <c r="C217" s="888">
        <v>65</v>
      </c>
      <c r="D217" s="888" t="s">
        <v>2501</v>
      </c>
      <c r="E217" s="888">
        <v>30</v>
      </c>
      <c r="F217" s="888" t="s">
        <v>2501</v>
      </c>
      <c r="G217" s="888">
        <v>70</v>
      </c>
      <c r="H217" s="888">
        <v>3</v>
      </c>
      <c r="J217" s="254">
        <f t="shared" si="40"/>
        <v>65</v>
      </c>
      <c r="K217" s="255">
        <f t="shared" ref="K217:K229" si="45">C217/(E217-G217)</f>
        <v>-1.625</v>
      </c>
      <c r="L217" s="256">
        <f t="shared" ref="L217:L229" si="46">C217-K217*E217</f>
        <v>113.75</v>
      </c>
      <c r="M217" s="255" t="s">
        <v>32</v>
      </c>
      <c r="N217" s="256" t="s">
        <v>32</v>
      </c>
      <c r="P217" s="948">
        <v>0</v>
      </c>
      <c r="Q217" s="948">
        <v>0</v>
      </c>
    </row>
    <row r="218" spans="1:17">
      <c r="A218" s="213">
        <v>10061</v>
      </c>
      <c r="B218" s="886" t="s">
        <v>3368</v>
      </c>
      <c r="C218" s="888">
        <v>65</v>
      </c>
      <c r="D218" s="888" t="s">
        <v>2501</v>
      </c>
      <c r="E218" s="888">
        <v>30</v>
      </c>
      <c r="F218" s="888" t="s">
        <v>2501</v>
      </c>
      <c r="G218" s="888">
        <v>70</v>
      </c>
      <c r="H218" s="888">
        <v>3</v>
      </c>
      <c r="J218" s="254">
        <f t="shared" si="40"/>
        <v>65</v>
      </c>
      <c r="K218" s="255">
        <f t="shared" si="45"/>
        <v>-1.625</v>
      </c>
      <c r="L218" s="256">
        <f t="shared" si="46"/>
        <v>113.75</v>
      </c>
      <c r="M218" s="255" t="s">
        <v>32</v>
      </c>
      <c r="N218" s="256" t="s">
        <v>32</v>
      </c>
      <c r="P218" s="948">
        <v>0</v>
      </c>
      <c r="Q218" s="948">
        <v>0</v>
      </c>
    </row>
    <row r="219" spans="1:17">
      <c r="A219" s="213">
        <v>10062</v>
      </c>
      <c r="B219" s="886" t="s">
        <v>3258</v>
      </c>
      <c r="C219" s="888">
        <v>65</v>
      </c>
      <c r="D219" s="888" t="s">
        <v>2501</v>
      </c>
      <c r="E219" s="888">
        <v>30</v>
      </c>
      <c r="F219" s="888" t="s">
        <v>2501</v>
      </c>
      <c r="G219" s="888">
        <v>70</v>
      </c>
      <c r="H219" s="888">
        <v>3</v>
      </c>
      <c r="J219" s="254">
        <f t="shared" si="40"/>
        <v>65</v>
      </c>
      <c r="K219" s="255">
        <f t="shared" si="45"/>
        <v>-1.625</v>
      </c>
      <c r="L219" s="256">
        <f t="shared" si="46"/>
        <v>113.75</v>
      </c>
      <c r="M219" s="255" t="s">
        <v>32</v>
      </c>
      <c r="N219" s="256" t="s">
        <v>32</v>
      </c>
      <c r="P219" s="948">
        <v>0</v>
      </c>
      <c r="Q219" s="948">
        <v>0</v>
      </c>
    </row>
    <row r="220" spans="1:17">
      <c r="A220" s="213">
        <v>10063</v>
      </c>
      <c r="B220" s="886" t="s">
        <v>1425</v>
      </c>
      <c r="C220" s="888">
        <v>65</v>
      </c>
      <c r="D220" s="888" t="s">
        <v>2501</v>
      </c>
      <c r="E220" s="888">
        <v>30</v>
      </c>
      <c r="F220" s="888" t="s">
        <v>2501</v>
      </c>
      <c r="G220" s="888">
        <v>70</v>
      </c>
      <c r="H220" s="888">
        <v>3</v>
      </c>
      <c r="J220" s="254">
        <f t="shared" si="40"/>
        <v>65</v>
      </c>
      <c r="K220" s="255">
        <f t="shared" si="45"/>
        <v>-1.625</v>
      </c>
      <c r="L220" s="256">
        <f t="shared" si="46"/>
        <v>113.75</v>
      </c>
      <c r="M220" s="255" t="s">
        <v>32</v>
      </c>
      <c r="N220" s="256" t="s">
        <v>32</v>
      </c>
      <c r="P220" s="948">
        <v>0</v>
      </c>
      <c r="Q220" s="948">
        <v>0</v>
      </c>
    </row>
    <row r="221" spans="1:17">
      <c r="A221" s="213">
        <v>10064</v>
      </c>
      <c r="B221" s="886" t="s">
        <v>1175</v>
      </c>
      <c r="C221" s="888">
        <v>65</v>
      </c>
      <c r="D221" s="888" t="s">
        <v>2501</v>
      </c>
      <c r="E221" s="888">
        <v>30</v>
      </c>
      <c r="F221" s="888" t="s">
        <v>2501</v>
      </c>
      <c r="G221" s="888">
        <v>70</v>
      </c>
      <c r="H221" s="888">
        <v>3</v>
      </c>
      <c r="J221" s="254">
        <f t="shared" si="40"/>
        <v>65</v>
      </c>
      <c r="K221" s="255">
        <f t="shared" si="45"/>
        <v>-1.625</v>
      </c>
      <c r="L221" s="256">
        <f t="shared" si="46"/>
        <v>113.75</v>
      </c>
      <c r="M221" s="255" t="s">
        <v>32</v>
      </c>
      <c r="N221" s="256" t="s">
        <v>32</v>
      </c>
      <c r="P221" s="948">
        <v>0</v>
      </c>
      <c r="Q221" s="948">
        <v>0</v>
      </c>
    </row>
    <row r="222" spans="1:17">
      <c r="A222" s="213">
        <v>10065</v>
      </c>
      <c r="B222" s="886" t="s">
        <v>1176</v>
      </c>
      <c r="C222" s="888">
        <v>65</v>
      </c>
      <c r="D222" s="888" t="s">
        <v>2501</v>
      </c>
      <c r="E222" s="888">
        <v>30</v>
      </c>
      <c r="F222" s="888" t="s">
        <v>2501</v>
      </c>
      <c r="G222" s="888">
        <v>70</v>
      </c>
      <c r="H222" s="888">
        <v>3</v>
      </c>
      <c r="J222" s="254">
        <f t="shared" si="40"/>
        <v>65</v>
      </c>
      <c r="K222" s="255">
        <f t="shared" si="45"/>
        <v>-1.625</v>
      </c>
      <c r="L222" s="256">
        <f t="shared" si="46"/>
        <v>113.75</v>
      </c>
      <c r="M222" s="255" t="s">
        <v>32</v>
      </c>
      <c r="N222" s="256" t="s">
        <v>32</v>
      </c>
      <c r="P222" s="948">
        <v>0</v>
      </c>
      <c r="Q222" s="948">
        <v>0</v>
      </c>
    </row>
    <row r="223" spans="1:17">
      <c r="A223" s="213">
        <v>10066</v>
      </c>
      <c r="B223" s="886" t="s">
        <v>3719</v>
      </c>
      <c r="C223" s="888">
        <v>65</v>
      </c>
      <c r="D223" s="888" t="s">
        <v>2501</v>
      </c>
      <c r="E223" s="888">
        <v>30</v>
      </c>
      <c r="F223" s="888" t="s">
        <v>2501</v>
      </c>
      <c r="G223" s="888">
        <v>70</v>
      </c>
      <c r="H223" s="888">
        <v>3</v>
      </c>
      <c r="J223" s="254">
        <f t="shared" si="40"/>
        <v>65</v>
      </c>
      <c r="K223" s="255">
        <f t="shared" si="45"/>
        <v>-1.625</v>
      </c>
      <c r="L223" s="256">
        <f t="shared" si="46"/>
        <v>113.75</v>
      </c>
      <c r="M223" s="255" t="s">
        <v>32</v>
      </c>
      <c r="N223" s="256" t="s">
        <v>32</v>
      </c>
      <c r="P223" s="948">
        <v>0</v>
      </c>
      <c r="Q223" s="948">
        <v>0</v>
      </c>
    </row>
    <row r="224" spans="1:17">
      <c r="A224" s="213">
        <v>10067</v>
      </c>
      <c r="B224" s="886" t="s">
        <v>3720</v>
      </c>
      <c r="C224" s="888">
        <v>65</v>
      </c>
      <c r="D224" s="888" t="s">
        <v>2501</v>
      </c>
      <c r="E224" s="888">
        <v>30</v>
      </c>
      <c r="F224" s="888" t="s">
        <v>2501</v>
      </c>
      <c r="G224" s="888">
        <v>70</v>
      </c>
      <c r="H224" s="888">
        <v>3</v>
      </c>
      <c r="J224" s="254">
        <f t="shared" si="40"/>
        <v>65</v>
      </c>
      <c r="K224" s="255">
        <f t="shared" si="45"/>
        <v>-1.625</v>
      </c>
      <c r="L224" s="256">
        <f t="shared" si="46"/>
        <v>113.75</v>
      </c>
      <c r="M224" s="255" t="s">
        <v>32</v>
      </c>
      <c r="N224" s="256" t="s">
        <v>32</v>
      </c>
      <c r="P224" s="948">
        <v>0</v>
      </c>
      <c r="Q224" s="948">
        <v>0</v>
      </c>
    </row>
    <row r="225" spans="1:17">
      <c r="A225" s="213">
        <v>10068</v>
      </c>
      <c r="B225" s="886" t="s">
        <v>2779</v>
      </c>
      <c r="C225" s="887" t="s">
        <v>356</v>
      </c>
      <c r="D225" s="887" t="s">
        <v>32</v>
      </c>
      <c r="E225" s="887" t="s">
        <v>356</v>
      </c>
      <c r="F225" s="887" t="s">
        <v>32</v>
      </c>
      <c r="G225" s="887" t="s">
        <v>356</v>
      </c>
      <c r="H225" s="888" t="s">
        <v>356</v>
      </c>
      <c r="J225" s="254" t="str">
        <f t="shared" si="40"/>
        <v>-</v>
      </c>
      <c r="K225" s="255" t="e">
        <f t="shared" si="45"/>
        <v>#VALUE!</v>
      </c>
      <c r="L225" s="256" t="e">
        <f t="shared" si="46"/>
        <v>#VALUE!</v>
      </c>
      <c r="M225" s="255" t="s">
        <v>32</v>
      </c>
      <c r="N225" s="256" t="s">
        <v>32</v>
      </c>
      <c r="P225" s="948" t="s">
        <v>936</v>
      </c>
      <c r="Q225" s="948" t="s">
        <v>936</v>
      </c>
    </row>
    <row r="226" spans="1:17">
      <c r="A226" s="213">
        <v>10069</v>
      </c>
      <c r="B226" s="886" t="s">
        <v>2153</v>
      </c>
      <c r="C226" s="887" t="s">
        <v>356</v>
      </c>
      <c r="D226" s="887" t="s">
        <v>32</v>
      </c>
      <c r="E226" s="887" t="s">
        <v>356</v>
      </c>
      <c r="F226" s="887" t="s">
        <v>32</v>
      </c>
      <c r="G226" s="887" t="s">
        <v>356</v>
      </c>
      <c r="H226" s="888" t="s">
        <v>356</v>
      </c>
      <c r="J226" s="254" t="str">
        <f t="shared" si="40"/>
        <v>-</v>
      </c>
      <c r="K226" s="255" t="e">
        <f t="shared" si="45"/>
        <v>#VALUE!</v>
      </c>
      <c r="L226" s="256" t="e">
        <f t="shared" si="46"/>
        <v>#VALUE!</v>
      </c>
      <c r="M226" s="255" t="s">
        <v>32</v>
      </c>
      <c r="N226" s="256" t="s">
        <v>32</v>
      </c>
      <c r="P226" s="948" t="s">
        <v>936</v>
      </c>
      <c r="Q226" s="948" t="s">
        <v>936</v>
      </c>
    </row>
    <row r="227" spans="1:17">
      <c r="A227" s="213">
        <v>10070</v>
      </c>
      <c r="B227" s="886" t="s">
        <v>1302</v>
      </c>
      <c r="C227" s="887" t="s">
        <v>356</v>
      </c>
      <c r="D227" s="887" t="s">
        <v>32</v>
      </c>
      <c r="E227" s="887" t="s">
        <v>356</v>
      </c>
      <c r="F227" s="887" t="s">
        <v>32</v>
      </c>
      <c r="G227" s="887" t="s">
        <v>356</v>
      </c>
      <c r="H227" s="888" t="s">
        <v>356</v>
      </c>
      <c r="J227" s="254" t="str">
        <f t="shared" si="40"/>
        <v>-</v>
      </c>
      <c r="K227" s="255" t="e">
        <f t="shared" si="45"/>
        <v>#VALUE!</v>
      </c>
      <c r="L227" s="256" t="e">
        <f t="shared" si="46"/>
        <v>#VALUE!</v>
      </c>
      <c r="M227" s="255" t="s">
        <v>32</v>
      </c>
      <c r="N227" s="256" t="s">
        <v>32</v>
      </c>
      <c r="P227" s="948" t="s">
        <v>936</v>
      </c>
      <c r="Q227" s="948" t="s">
        <v>936</v>
      </c>
    </row>
    <row r="228" spans="1:17">
      <c r="A228" s="213">
        <v>10071</v>
      </c>
      <c r="B228" s="886" t="s">
        <v>1118</v>
      </c>
      <c r="C228" s="887">
        <v>150</v>
      </c>
      <c r="D228" s="887">
        <v>150</v>
      </c>
      <c r="E228" s="887">
        <v>100</v>
      </c>
      <c r="F228" s="887">
        <v>200</v>
      </c>
      <c r="G228" s="887">
        <v>200</v>
      </c>
      <c r="H228" s="888">
        <v>3</v>
      </c>
      <c r="J228" s="254">
        <f t="shared" si="40"/>
        <v>150</v>
      </c>
      <c r="K228" s="255">
        <f t="shared" si="45"/>
        <v>-1.5</v>
      </c>
      <c r="L228" s="256">
        <f t="shared" si="46"/>
        <v>300</v>
      </c>
      <c r="M228" s="255" t="s">
        <v>32</v>
      </c>
      <c r="N228" s="256" t="s">
        <v>32</v>
      </c>
      <c r="P228" s="948">
        <v>0</v>
      </c>
      <c r="Q228" s="948">
        <v>0</v>
      </c>
    </row>
    <row r="229" spans="1:17">
      <c r="A229" s="213">
        <v>10072</v>
      </c>
      <c r="B229" s="886" t="s">
        <v>1119</v>
      </c>
      <c r="C229" s="887">
        <v>150</v>
      </c>
      <c r="D229" s="887">
        <v>150</v>
      </c>
      <c r="E229" s="887">
        <v>100</v>
      </c>
      <c r="F229" s="887">
        <v>200</v>
      </c>
      <c r="G229" s="887">
        <v>200</v>
      </c>
      <c r="H229" s="888">
        <v>3</v>
      </c>
      <c r="J229" s="254">
        <f t="shared" si="40"/>
        <v>150</v>
      </c>
      <c r="K229" s="255">
        <f t="shared" si="45"/>
        <v>-1.5</v>
      </c>
      <c r="L229" s="256">
        <f t="shared" si="46"/>
        <v>300</v>
      </c>
      <c r="M229" s="255" t="s">
        <v>32</v>
      </c>
      <c r="N229" s="256" t="s">
        <v>32</v>
      </c>
      <c r="P229" s="948">
        <v>0</v>
      </c>
      <c r="Q229" s="948">
        <v>0</v>
      </c>
    </row>
    <row r="230" spans="1:17">
      <c r="A230" s="213">
        <v>10073</v>
      </c>
      <c r="B230" s="886" t="s">
        <v>2094</v>
      </c>
      <c r="C230" s="887">
        <v>20</v>
      </c>
      <c r="D230" s="887">
        <v>12</v>
      </c>
      <c r="E230" s="887">
        <v>12</v>
      </c>
      <c r="F230" s="887">
        <v>20</v>
      </c>
      <c r="G230" s="887">
        <v>20</v>
      </c>
      <c r="H230" s="888">
        <v>2</v>
      </c>
      <c r="J230" s="259">
        <f t="shared" si="40"/>
        <v>20</v>
      </c>
      <c r="K230" s="259">
        <f>(D230-C230)/(F230-E230)</f>
        <v>-1</v>
      </c>
      <c r="L230" s="259">
        <f>-(K230*E230-C230)</f>
        <v>32</v>
      </c>
      <c r="M230" s="259" t="s">
        <v>32</v>
      </c>
      <c r="N230" s="260" t="s">
        <v>32</v>
      </c>
      <c r="P230" s="948">
        <v>0</v>
      </c>
      <c r="Q230" s="948">
        <v>0</v>
      </c>
    </row>
    <row r="231" spans="1:17">
      <c r="A231" s="213">
        <v>10074</v>
      </c>
      <c r="B231" s="886" t="s">
        <v>2375</v>
      </c>
      <c r="C231" s="887">
        <v>22</v>
      </c>
      <c r="D231" s="887">
        <v>12</v>
      </c>
      <c r="E231" s="887">
        <v>0</v>
      </c>
      <c r="F231" s="887">
        <v>10</v>
      </c>
      <c r="G231" s="887">
        <v>10</v>
      </c>
      <c r="H231" s="888">
        <v>2</v>
      </c>
      <c r="J231" s="259">
        <f t="shared" si="40"/>
        <v>22</v>
      </c>
      <c r="K231" s="259">
        <f>(D231-C231)/(F231-E231)</f>
        <v>-1</v>
      </c>
      <c r="L231" s="259">
        <f>-(K231*E231-C231)</f>
        <v>22</v>
      </c>
      <c r="M231" s="259" t="s">
        <v>32</v>
      </c>
      <c r="N231" s="260" t="s">
        <v>32</v>
      </c>
      <c r="P231" s="948">
        <v>0</v>
      </c>
      <c r="Q231" s="948">
        <v>0</v>
      </c>
    </row>
    <row r="232" spans="1:17">
      <c r="A232" s="213">
        <v>10075</v>
      </c>
      <c r="B232" s="886" t="s">
        <v>1979</v>
      </c>
      <c r="C232" s="887">
        <v>325</v>
      </c>
      <c r="D232" s="887">
        <v>25</v>
      </c>
      <c r="E232" s="887">
        <v>100</v>
      </c>
      <c r="F232" s="887">
        <v>400</v>
      </c>
      <c r="G232" s="887">
        <v>400</v>
      </c>
      <c r="H232" s="888">
        <v>2</v>
      </c>
      <c r="J232" s="259">
        <f t="shared" si="40"/>
        <v>325</v>
      </c>
      <c r="K232" s="259">
        <f>(D232-C232)/(F232-E232)</f>
        <v>-1</v>
      </c>
      <c r="L232" s="259">
        <f>-(K232*E232-C232)</f>
        <v>425</v>
      </c>
      <c r="M232" s="259" t="s">
        <v>32</v>
      </c>
      <c r="N232" s="260" t="s">
        <v>32</v>
      </c>
      <c r="P232" s="948">
        <v>0</v>
      </c>
      <c r="Q232" s="948">
        <v>0</v>
      </c>
    </row>
    <row r="233" spans="1:17">
      <c r="A233" s="213">
        <v>10076</v>
      </c>
      <c r="B233" s="886" t="s">
        <v>2039</v>
      </c>
      <c r="C233" s="887">
        <v>325</v>
      </c>
      <c r="D233" s="887">
        <v>25</v>
      </c>
      <c r="E233" s="887">
        <v>100</v>
      </c>
      <c r="F233" s="887">
        <v>400</v>
      </c>
      <c r="G233" s="887">
        <v>400</v>
      </c>
      <c r="H233" s="888">
        <v>2</v>
      </c>
      <c r="J233" s="259">
        <f t="shared" si="40"/>
        <v>325</v>
      </c>
      <c r="K233" s="259">
        <f>(D233-C233)/(F233-E233)</f>
        <v>-1</v>
      </c>
      <c r="L233" s="259">
        <f>-(K233*E233-C233)</f>
        <v>425</v>
      </c>
      <c r="M233" s="259" t="s">
        <v>32</v>
      </c>
      <c r="N233" s="260" t="s">
        <v>32</v>
      </c>
      <c r="P233" s="948">
        <v>0</v>
      </c>
      <c r="Q233" s="948">
        <v>0</v>
      </c>
    </row>
    <row r="234" spans="1:17">
      <c r="A234" s="213">
        <v>10077</v>
      </c>
      <c r="B234" s="886" t="s">
        <v>2620</v>
      </c>
      <c r="C234" s="887">
        <v>40</v>
      </c>
      <c r="D234" s="887">
        <v>40</v>
      </c>
      <c r="E234" s="887">
        <v>40</v>
      </c>
      <c r="F234" s="887">
        <v>80</v>
      </c>
      <c r="G234" s="887">
        <v>80</v>
      </c>
      <c r="H234" s="888">
        <v>3</v>
      </c>
      <c r="J234" s="254">
        <f t="shared" si="40"/>
        <v>40</v>
      </c>
      <c r="K234" s="255">
        <f>C234/(E234-G234)</f>
        <v>-1</v>
      </c>
      <c r="L234" s="256">
        <f>C234-K234*E234</f>
        <v>80</v>
      </c>
      <c r="M234" s="255" t="s">
        <v>32</v>
      </c>
      <c r="N234" s="256" t="s">
        <v>32</v>
      </c>
      <c r="P234" s="948">
        <v>0</v>
      </c>
      <c r="Q234" s="948">
        <v>0</v>
      </c>
    </row>
    <row r="235" spans="1:17">
      <c r="A235" s="213">
        <v>10078</v>
      </c>
      <c r="B235" s="886" t="s">
        <v>2621</v>
      </c>
      <c r="C235" s="887">
        <v>40</v>
      </c>
      <c r="D235" s="887">
        <v>40</v>
      </c>
      <c r="E235" s="887">
        <v>40</v>
      </c>
      <c r="F235" s="887">
        <v>80</v>
      </c>
      <c r="G235" s="887">
        <v>80</v>
      </c>
      <c r="H235" s="888">
        <v>3</v>
      </c>
      <c r="J235" s="254">
        <f t="shared" si="40"/>
        <v>40</v>
      </c>
      <c r="K235" s="255">
        <f>C235/(E235-G235)</f>
        <v>-1</v>
      </c>
      <c r="L235" s="256">
        <f>C235-K235*E235</f>
        <v>80</v>
      </c>
      <c r="M235" s="255" t="s">
        <v>32</v>
      </c>
      <c r="N235" s="256" t="s">
        <v>32</v>
      </c>
      <c r="P235" s="948">
        <v>0</v>
      </c>
      <c r="Q235" s="948">
        <v>0</v>
      </c>
    </row>
    <row r="236" spans="1:17">
      <c r="A236" s="213">
        <v>10079</v>
      </c>
      <c r="B236" s="886" t="s">
        <v>2956</v>
      </c>
      <c r="C236" s="887">
        <v>40</v>
      </c>
      <c r="D236" s="887">
        <v>40</v>
      </c>
      <c r="E236" s="887">
        <v>40</v>
      </c>
      <c r="F236" s="887">
        <v>80</v>
      </c>
      <c r="G236" s="887">
        <v>80</v>
      </c>
      <c r="H236" s="888">
        <v>3</v>
      </c>
      <c r="J236" s="254">
        <f t="shared" si="40"/>
        <v>40</v>
      </c>
      <c r="K236" s="255">
        <f>C236/(E236-G236)</f>
        <v>-1</v>
      </c>
      <c r="L236" s="256">
        <f>C236-K236*E236</f>
        <v>80</v>
      </c>
      <c r="M236" s="255" t="s">
        <v>32</v>
      </c>
      <c r="N236" s="256" t="s">
        <v>32</v>
      </c>
      <c r="P236" s="948">
        <v>0</v>
      </c>
      <c r="Q236" s="948">
        <v>0</v>
      </c>
    </row>
    <row r="237" spans="1:17">
      <c r="A237" s="213">
        <v>10080</v>
      </c>
      <c r="B237" s="886" t="s">
        <v>88</v>
      </c>
      <c r="C237" s="887">
        <v>185</v>
      </c>
      <c r="D237" s="887">
        <v>25</v>
      </c>
      <c r="E237" s="887">
        <v>80</v>
      </c>
      <c r="F237" s="887">
        <v>185</v>
      </c>
      <c r="G237" s="887">
        <v>190</v>
      </c>
      <c r="H237" s="888">
        <v>1</v>
      </c>
      <c r="J237" s="245">
        <f t="shared" si="40"/>
        <v>185</v>
      </c>
      <c r="K237" s="257">
        <f t="shared" ref="K237:K248" si="47">(D237-C237)/(F237-E237)</f>
        <v>-1.5238095238095237</v>
      </c>
      <c r="L237" s="258">
        <f t="shared" ref="L237:L248" si="48">-(K237*E237-C237)</f>
        <v>306.90476190476193</v>
      </c>
      <c r="M237" s="257">
        <f>D237/(F237-G237)</f>
        <v>-5</v>
      </c>
      <c r="N237" s="258">
        <f>-(M237*F237-D237)</f>
        <v>950</v>
      </c>
      <c r="P237" s="948">
        <v>0</v>
      </c>
      <c r="Q237" s="948">
        <v>0</v>
      </c>
    </row>
    <row r="238" spans="1:17">
      <c r="A238" s="213">
        <v>10081</v>
      </c>
      <c r="B238" s="886" t="s">
        <v>3687</v>
      </c>
      <c r="C238" s="887">
        <v>185</v>
      </c>
      <c r="D238" s="887">
        <v>25</v>
      </c>
      <c r="E238" s="887">
        <v>80</v>
      </c>
      <c r="F238" s="887">
        <v>185</v>
      </c>
      <c r="G238" s="887">
        <v>190</v>
      </c>
      <c r="H238" s="888">
        <v>1</v>
      </c>
      <c r="J238" s="245">
        <f t="shared" si="40"/>
        <v>185</v>
      </c>
      <c r="K238" s="257">
        <f t="shared" si="47"/>
        <v>-1.5238095238095237</v>
      </c>
      <c r="L238" s="258">
        <f t="shared" si="48"/>
        <v>306.90476190476193</v>
      </c>
      <c r="M238" s="257">
        <f>D238/(F238-G238)</f>
        <v>-5</v>
      </c>
      <c r="N238" s="258">
        <f>-(M238*F238-D238)</f>
        <v>950</v>
      </c>
      <c r="P238" s="948">
        <v>0</v>
      </c>
      <c r="Q238" s="948">
        <v>0</v>
      </c>
    </row>
    <row r="239" spans="1:17">
      <c r="A239" s="213">
        <v>10082</v>
      </c>
      <c r="B239" s="886" t="s">
        <v>3164</v>
      </c>
      <c r="C239" s="887">
        <v>178</v>
      </c>
      <c r="D239" s="887">
        <v>25</v>
      </c>
      <c r="E239" s="887">
        <v>125</v>
      </c>
      <c r="F239" s="887">
        <v>250</v>
      </c>
      <c r="G239" s="887">
        <v>260</v>
      </c>
      <c r="H239" s="888">
        <v>1</v>
      </c>
      <c r="J239" s="245">
        <f t="shared" si="40"/>
        <v>178</v>
      </c>
      <c r="K239" s="257">
        <f t="shared" si="47"/>
        <v>-1.224</v>
      </c>
      <c r="L239" s="258">
        <f t="shared" si="48"/>
        <v>331</v>
      </c>
      <c r="M239" s="257">
        <f>D239/(F239-G239)</f>
        <v>-2.5</v>
      </c>
      <c r="N239" s="258">
        <f>-(M239*F239-D239)</f>
        <v>650</v>
      </c>
      <c r="P239" s="948">
        <v>0</v>
      </c>
      <c r="Q239" s="948">
        <v>0</v>
      </c>
    </row>
    <row r="240" spans="1:17">
      <c r="A240" s="213">
        <v>10083</v>
      </c>
      <c r="B240" s="886" t="s">
        <v>1777</v>
      </c>
      <c r="C240" s="887">
        <v>178</v>
      </c>
      <c r="D240" s="887">
        <v>25</v>
      </c>
      <c r="E240" s="887">
        <v>125</v>
      </c>
      <c r="F240" s="887">
        <v>250</v>
      </c>
      <c r="G240" s="887">
        <v>260</v>
      </c>
      <c r="H240" s="888">
        <v>1</v>
      </c>
      <c r="J240" s="245">
        <f t="shared" si="40"/>
        <v>178</v>
      </c>
      <c r="K240" s="257">
        <f t="shared" si="47"/>
        <v>-1.224</v>
      </c>
      <c r="L240" s="258">
        <f t="shared" si="48"/>
        <v>331</v>
      </c>
      <c r="M240" s="257">
        <f>D240/(F240-G240)</f>
        <v>-2.5</v>
      </c>
      <c r="N240" s="258">
        <f>-(M240*F240-D240)</f>
        <v>650</v>
      </c>
      <c r="P240" s="948">
        <v>0</v>
      </c>
      <c r="Q240" s="948">
        <v>0</v>
      </c>
    </row>
    <row r="241" spans="1:17">
      <c r="A241" s="213">
        <v>10084</v>
      </c>
      <c r="B241" s="886" t="s">
        <v>3542</v>
      </c>
      <c r="C241" s="887">
        <v>500</v>
      </c>
      <c r="D241" s="887">
        <v>50</v>
      </c>
      <c r="E241" s="887">
        <v>750</v>
      </c>
      <c r="F241" s="887">
        <v>1200</v>
      </c>
      <c r="G241" s="887">
        <v>1200</v>
      </c>
      <c r="H241" s="888">
        <v>2</v>
      </c>
      <c r="J241" s="259">
        <f t="shared" si="40"/>
        <v>500</v>
      </c>
      <c r="K241" s="259">
        <f t="shared" si="47"/>
        <v>-1</v>
      </c>
      <c r="L241" s="259">
        <f t="shared" si="48"/>
        <v>1250</v>
      </c>
      <c r="M241" s="259" t="s">
        <v>32</v>
      </c>
      <c r="N241" s="260" t="s">
        <v>32</v>
      </c>
      <c r="P241" s="948">
        <v>0</v>
      </c>
      <c r="Q241" s="948">
        <v>0</v>
      </c>
    </row>
    <row r="242" spans="1:17">
      <c r="A242" s="213">
        <v>10085</v>
      </c>
      <c r="B242" s="886" t="s">
        <v>1812</v>
      </c>
      <c r="C242" s="887">
        <v>500</v>
      </c>
      <c r="D242" s="887">
        <v>50</v>
      </c>
      <c r="E242" s="887">
        <v>450</v>
      </c>
      <c r="F242" s="887">
        <v>900</v>
      </c>
      <c r="G242" s="887">
        <v>900</v>
      </c>
      <c r="H242" s="888">
        <v>2</v>
      </c>
      <c r="J242" s="259">
        <f t="shared" si="40"/>
        <v>500</v>
      </c>
      <c r="K242" s="259">
        <f t="shared" si="47"/>
        <v>-1</v>
      </c>
      <c r="L242" s="259">
        <f t="shared" si="48"/>
        <v>950</v>
      </c>
      <c r="M242" s="259" t="s">
        <v>32</v>
      </c>
      <c r="N242" s="260" t="s">
        <v>32</v>
      </c>
      <c r="P242" s="948">
        <v>0</v>
      </c>
      <c r="Q242" s="948">
        <v>0</v>
      </c>
    </row>
    <row r="243" spans="1:17">
      <c r="A243" s="213">
        <v>10086</v>
      </c>
      <c r="B243" s="886" t="s">
        <v>2692</v>
      </c>
      <c r="C243" s="887">
        <v>22</v>
      </c>
      <c r="D243" s="887">
        <v>12</v>
      </c>
      <c r="E243" s="887">
        <v>0</v>
      </c>
      <c r="F243" s="887">
        <v>10</v>
      </c>
      <c r="G243" s="887">
        <v>10</v>
      </c>
      <c r="H243" s="888">
        <v>2</v>
      </c>
      <c r="J243" s="259">
        <f t="shared" si="40"/>
        <v>22</v>
      </c>
      <c r="K243" s="259">
        <f t="shared" si="47"/>
        <v>-1</v>
      </c>
      <c r="L243" s="259">
        <f t="shared" si="48"/>
        <v>22</v>
      </c>
      <c r="M243" s="259" t="s">
        <v>32</v>
      </c>
      <c r="N243" s="260" t="s">
        <v>32</v>
      </c>
      <c r="P243" s="948">
        <v>0</v>
      </c>
      <c r="Q243" s="948">
        <v>0</v>
      </c>
    </row>
    <row r="244" spans="1:17">
      <c r="A244" s="213">
        <v>10087</v>
      </c>
      <c r="B244" s="886" t="s">
        <v>150</v>
      </c>
      <c r="C244" s="887">
        <v>18</v>
      </c>
      <c r="D244" s="887">
        <v>12</v>
      </c>
      <c r="E244" s="887">
        <v>0</v>
      </c>
      <c r="F244" s="887">
        <v>6</v>
      </c>
      <c r="G244" s="887">
        <v>6</v>
      </c>
      <c r="H244" s="888">
        <v>2</v>
      </c>
      <c r="J244" s="259">
        <f t="shared" si="40"/>
        <v>18</v>
      </c>
      <c r="K244" s="259">
        <f t="shared" si="47"/>
        <v>-1</v>
      </c>
      <c r="L244" s="259">
        <f t="shared" si="48"/>
        <v>18</v>
      </c>
      <c r="M244" s="259" t="s">
        <v>32</v>
      </c>
      <c r="N244" s="260" t="s">
        <v>32</v>
      </c>
      <c r="P244" s="948">
        <v>0</v>
      </c>
      <c r="Q244" s="948">
        <v>0</v>
      </c>
    </row>
    <row r="245" spans="1:17">
      <c r="A245" s="213">
        <v>10088</v>
      </c>
      <c r="B245" s="886" t="s">
        <v>3493</v>
      </c>
      <c r="C245" s="887">
        <v>20</v>
      </c>
      <c r="D245" s="887">
        <v>12</v>
      </c>
      <c r="E245" s="887">
        <v>12</v>
      </c>
      <c r="F245" s="887">
        <v>20</v>
      </c>
      <c r="G245" s="887">
        <v>20</v>
      </c>
      <c r="H245" s="888">
        <v>2</v>
      </c>
      <c r="J245" s="259">
        <f t="shared" ref="J245:J261" si="49">C245</f>
        <v>20</v>
      </c>
      <c r="K245" s="259">
        <f t="shared" si="47"/>
        <v>-1</v>
      </c>
      <c r="L245" s="259">
        <f t="shared" si="48"/>
        <v>32</v>
      </c>
      <c r="M245" s="259" t="s">
        <v>32</v>
      </c>
      <c r="N245" s="260" t="s">
        <v>32</v>
      </c>
      <c r="P245" s="948">
        <v>0</v>
      </c>
      <c r="Q245" s="948">
        <v>0</v>
      </c>
    </row>
    <row r="246" spans="1:17">
      <c r="A246" s="213">
        <v>10089</v>
      </c>
      <c r="B246" s="886" t="s">
        <v>346</v>
      </c>
      <c r="C246" s="887">
        <v>22</v>
      </c>
      <c r="D246" s="887">
        <v>12</v>
      </c>
      <c r="E246" s="887">
        <v>0</v>
      </c>
      <c r="F246" s="887">
        <v>10</v>
      </c>
      <c r="G246" s="887">
        <v>10</v>
      </c>
      <c r="H246" s="888">
        <v>2</v>
      </c>
      <c r="J246" s="259">
        <f t="shared" si="49"/>
        <v>22</v>
      </c>
      <c r="K246" s="259">
        <f t="shared" si="47"/>
        <v>-1</v>
      </c>
      <c r="L246" s="259">
        <f t="shared" si="48"/>
        <v>22</v>
      </c>
      <c r="M246" s="259" t="s">
        <v>32</v>
      </c>
      <c r="N246" s="260" t="s">
        <v>32</v>
      </c>
      <c r="P246" s="948">
        <v>0</v>
      </c>
      <c r="Q246" s="948">
        <v>0</v>
      </c>
    </row>
    <row r="247" spans="1:17">
      <c r="A247" s="213">
        <v>10090</v>
      </c>
      <c r="B247" s="886" t="s">
        <v>2462</v>
      </c>
      <c r="C247" s="887">
        <v>20</v>
      </c>
      <c r="D247" s="887">
        <v>12</v>
      </c>
      <c r="E247" s="887">
        <v>12</v>
      </c>
      <c r="F247" s="887">
        <v>20</v>
      </c>
      <c r="G247" s="887">
        <v>20</v>
      </c>
      <c r="H247" s="888">
        <v>2</v>
      </c>
      <c r="J247" s="259">
        <f t="shared" si="49"/>
        <v>20</v>
      </c>
      <c r="K247" s="259">
        <f t="shared" si="47"/>
        <v>-1</v>
      </c>
      <c r="L247" s="259">
        <f t="shared" si="48"/>
        <v>32</v>
      </c>
      <c r="M247" s="259" t="s">
        <v>32</v>
      </c>
      <c r="N247" s="260" t="s">
        <v>32</v>
      </c>
      <c r="P247" s="948">
        <v>0</v>
      </c>
      <c r="Q247" s="948">
        <v>0</v>
      </c>
    </row>
    <row r="248" spans="1:17">
      <c r="A248" s="213">
        <v>10091</v>
      </c>
      <c r="B248" s="886" t="s">
        <v>3197</v>
      </c>
      <c r="C248" s="887">
        <v>20</v>
      </c>
      <c r="D248" s="887">
        <v>12</v>
      </c>
      <c r="E248" s="887">
        <v>12</v>
      </c>
      <c r="F248" s="887">
        <v>20</v>
      </c>
      <c r="G248" s="887">
        <v>20</v>
      </c>
      <c r="H248" s="888">
        <v>2</v>
      </c>
      <c r="J248" s="259">
        <f t="shared" si="49"/>
        <v>20</v>
      </c>
      <c r="K248" s="259">
        <f t="shared" si="47"/>
        <v>-1</v>
      </c>
      <c r="L248" s="259">
        <f t="shared" si="48"/>
        <v>32</v>
      </c>
      <c r="M248" s="259" t="s">
        <v>32</v>
      </c>
      <c r="N248" s="260" t="s">
        <v>32</v>
      </c>
      <c r="P248" s="948">
        <v>0</v>
      </c>
      <c r="Q248" s="948">
        <v>0</v>
      </c>
    </row>
    <row r="249" spans="1:17">
      <c r="A249" s="213">
        <v>10092</v>
      </c>
      <c r="B249" s="886" t="s">
        <v>1897</v>
      </c>
      <c r="C249" s="887" t="s">
        <v>347</v>
      </c>
      <c r="D249" s="887" t="s">
        <v>32</v>
      </c>
      <c r="E249" s="887" t="s">
        <v>347</v>
      </c>
      <c r="F249" s="887" t="s">
        <v>32</v>
      </c>
      <c r="G249" s="887" t="s">
        <v>347</v>
      </c>
      <c r="H249" s="888" t="s">
        <v>347</v>
      </c>
      <c r="J249" s="254" t="str">
        <f t="shared" si="49"/>
        <v>-</v>
      </c>
      <c r="K249" s="255" t="e">
        <f>C249/(E249-G249)</f>
        <v>#VALUE!</v>
      </c>
      <c r="L249" s="256" t="e">
        <f>C249-K249*E249</f>
        <v>#VALUE!</v>
      </c>
      <c r="M249" s="255" t="s">
        <v>32</v>
      </c>
      <c r="N249" s="256" t="s">
        <v>32</v>
      </c>
      <c r="P249" s="948" t="s">
        <v>936</v>
      </c>
      <c r="Q249" s="948" t="s">
        <v>936</v>
      </c>
    </row>
    <row r="250" spans="1:17">
      <c r="A250" s="213">
        <v>10093</v>
      </c>
      <c r="B250" s="886" t="s">
        <v>1797</v>
      </c>
      <c r="C250" s="887" t="s">
        <v>356</v>
      </c>
      <c r="D250" s="887" t="s">
        <v>32</v>
      </c>
      <c r="E250" s="887" t="s">
        <v>356</v>
      </c>
      <c r="F250" s="887" t="s">
        <v>32</v>
      </c>
      <c r="G250" s="887" t="s">
        <v>356</v>
      </c>
      <c r="H250" s="888" t="s">
        <v>356</v>
      </c>
      <c r="J250" s="254" t="str">
        <f t="shared" si="49"/>
        <v>-</v>
      </c>
      <c r="K250" s="255" t="e">
        <f>C250/(E250-G250)</f>
        <v>#VALUE!</v>
      </c>
      <c r="L250" s="256" t="e">
        <f>C250-K250*E250</f>
        <v>#VALUE!</v>
      </c>
      <c r="M250" s="255" t="s">
        <v>32</v>
      </c>
      <c r="N250" s="256" t="s">
        <v>32</v>
      </c>
      <c r="P250" s="948" t="s">
        <v>936</v>
      </c>
      <c r="Q250" s="948" t="s">
        <v>936</v>
      </c>
    </row>
    <row r="251" spans="1:17">
      <c r="A251" s="213">
        <v>10094</v>
      </c>
      <c r="B251" s="886" t="s">
        <v>1027</v>
      </c>
      <c r="C251" s="887">
        <v>325</v>
      </c>
      <c r="D251" s="887">
        <v>25</v>
      </c>
      <c r="E251" s="887">
        <v>100</v>
      </c>
      <c r="F251" s="887">
        <v>400</v>
      </c>
      <c r="G251" s="887">
        <v>400</v>
      </c>
      <c r="H251" s="888">
        <v>2</v>
      </c>
      <c r="J251" s="259">
        <f t="shared" si="49"/>
        <v>325</v>
      </c>
      <c r="K251" s="259">
        <f>(D251-C251)/(F251-E251)</f>
        <v>-1</v>
      </c>
      <c r="L251" s="259">
        <f>-(K251*E251-C251)</f>
        <v>425</v>
      </c>
      <c r="M251" s="259" t="s">
        <v>32</v>
      </c>
      <c r="N251" s="260" t="s">
        <v>32</v>
      </c>
      <c r="P251" s="948">
        <v>0</v>
      </c>
      <c r="Q251" s="948">
        <v>0</v>
      </c>
    </row>
    <row r="252" spans="1:17">
      <c r="A252" s="213">
        <v>10095</v>
      </c>
      <c r="B252" s="886" t="s">
        <v>1028</v>
      </c>
      <c r="C252" s="887">
        <v>325</v>
      </c>
      <c r="D252" s="887">
        <v>25</v>
      </c>
      <c r="E252" s="887">
        <v>100</v>
      </c>
      <c r="F252" s="887">
        <v>400</v>
      </c>
      <c r="G252" s="887">
        <v>400</v>
      </c>
      <c r="H252" s="888">
        <v>2</v>
      </c>
      <c r="J252" s="259">
        <f t="shared" si="49"/>
        <v>325</v>
      </c>
      <c r="K252" s="259">
        <f>(D252-C252)/(F252-E252)</f>
        <v>-1</v>
      </c>
      <c r="L252" s="259">
        <f>-(K252*E252-C252)</f>
        <v>425</v>
      </c>
      <c r="M252" s="259" t="s">
        <v>32</v>
      </c>
      <c r="N252" s="260" t="s">
        <v>32</v>
      </c>
      <c r="P252" s="948">
        <v>0</v>
      </c>
      <c r="Q252" s="948">
        <v>0</v>
      </c>
    </row>
    <row r="253" spans="1:17">
      <c r="A253" s="213">
        <v>10096</v>
      </c>
      <c r="B253" s="886" t="s">
        <v>2343</v>
      </c>
      <c r="C253" s="887">
        <v>1</v>
      </c>
      <c r="D253" s="887">
        <v>1</v>
      </c>
      <c r="E253" s="887">
        <v>4</v>
      </c>
      <c r="F253" s="887">
        <v>5</v>
      </c>
      <c r="G253" s="887">
        <v>5</v>
      </c>
      <c r="H253" s="888">
        <v>3</v>
      </c>
      <c r="J253" s="254">
        <f t="shared" si="49"/>
        <v>1</v>
      </c>
      <c r="K253" s="255">
        <f t="shared" ref="K253:K260" si="50">C253/(E253-G253)</f>
        <v>-1</v>
      </c>
      <c r="L253" s="256">
        <f t="shared" ref="L253:L260" si="51">C253-K253*E253</f>
        <v>5</v>
      </c>
      <c r="M253" s="255" t="s">
        <v>32</v>
      </c>
      <c r="N253" s="256" t="s">
        <v>32</v>
      </c>
      <c r="P253" s="948">
        <v>0</v>
      </c>
      <c r="Q253" s="948">
        <v>0</v>
      </c>
    </row>
    <row r="254" spans="1:17">
      <c r="A254" s="213">
        <v>10097</v>
      </c>
      <c r="B254" s="886" t="s">
        <v>3009</v>
      </c>
      <c r="C254" s="887">
        <v>1</v>
      </c>
      <c r="D254" s="887">
        <v>1</v>
      </c>
      <c r="E254" s="887">
        <v>4</v>
      </c>
      <c r="F254" s="887">
        <v>5</v>
      </c>
      <c r="G254" s="887">
        <v>5</v>
      </c>
      <c r="H254" s="888">
        <v>3</v>
      </c>
      <c r="J254" s="254">
        <f t="shared" si="49"/>
        <v>1</v>
      </c>
      <c r="K254" s="255">
        <f t="shared" si="50"/>
        <v>-1</v>
      </c>
      <c r="L254" s="256">
        <f t="shared" si="51"/>
        <v>5</v>
      </c>
      <c r="M254" s="255" t="s">
        <v>32</v>
      </c>
      <c r="N254" s="256" t="s">
        <v>32</v>
      </c>
      <c r="P254" s="948">
        <v>0</v>
      </c>
      <c r="Q254" s="948">
        <v>0</v>
      </c>
    </row>
    <row r="255" spans="1:17">
      <c r="A255" s="213">
        <v>10098</v>
      </c>
      <c r="B255" s="886" t="s">
        <v>3486</v>
      </c>
      <c r="C255" s="887">
        <v>1</v>
      </c>
      <c r="D255" s="887">
        <v>1</v>
      </c>
      <c r="E255" s="887">
        <v>4</v>
      </c>
      <c r="F255" s="887">
        <v>5</v>
      </c>
      <c r="G255" s="887">
        <v>5</v>
      </c>
      <c r="H255" s="888">
        <v>3</v>
      </c>
      <c r="J255" s="254">
        <f t="shared" si="49"/>
        <v>1</v>
      </c>
      <c r="K255" s="255">
        <f t="shared" si="50"/>
        <v>-1</v>
      </c>
      <c r="L255" s="256">
        <f t="shared" si="51"/>
        <v>5</v>
      </c>
      <c r="M255" s="255" t="s">
        <v>32</v>
      </c>
      <c r="N255" s="256" t="s">
        <v>32</v>
      </c>
      <c r="P255" s="948">
        <v>0</v>
      </c>
      <c r="Q255" s="948">
        <v>0</v>
      </c>
    </row>
    <row r="256" spans="1:17">
      <c r="A256" s="213">
        <v>10099</v>
      </c>
      <c r="B256" s="886" t="s">
        <v>1123</v>
      </c>
      <c r="C256" s="887">
        <v>1</v>
      </c>
      <c r="D256" s="887">
        <v>1</v>
      </c>
      <c r="E256" s="887">
        <v>4</v>
      </c>
      <c r="F256" s="887">
        <v>5</v>
      </c>
      <c r="G256" s="887">
        <v>5</v>
      </c>
      <c r="H256" s="888">
        <v>3</v>
      </c>
      <c r="J256" s="254">
        <f t="shared" si="49"/>
        <v>1</v>
      </c>
      <c r="K256" s="255">
        <f t="shared" si="50"/>
        <v>-1</v>
      </c>
      <c r="L256" s="256">
        <f t="shared" si="51"/>
        <v>5</v>
      </c>
      <c r="M256" s="255" t="s">
        <v>32</v>
      </c>
      <c r="N256" s="256" t="s">
        <v>32</v>
      </c>
      <c r="P256" s="948">
        <v>0</v>
      </c>
      <c r="Q256" s="948">
        <v>0</v>
      </c>
    </row>
    <row r="257" spans="1:17">
      <c r="A257" s="213">
        <v>10100</v>
      </c>
      <c r="B257" s="886" t="s">
        <v>123</v>
      </c>
      <c r="C257" s="887">
        <v>1</v>
      </c>
      <c r="D257" s="887">
        <v>1</v>
      </c>
      <c r="E257" s="887">
        <v>4</v>
      </c>
      <c r="F257" s="887">
        <v>5</v>
      </c>
      <c r="G257" s="887">
        <v>5</v>
      </c>
      <c r="H257" s="888">
        <v>3</v>
      </c>
      <c r="J257" s="254">
        <f t="shared" si="49"/>
        <v>1</v>
      </c>
      <c r="K257" s="255">
        <f t="shared" si="50"/>
        <v>-1</v>
      </c>
      <c r="L257" s="256">
        <f t="shared" si="51"/>
        <v>5</v>
      </c>
      <c r="M257" s="255" t="s">
        <v>32</v>
      </c>
      <c r="N257" s="256" t="s">
        <v>32</v>
      </c>
      <c r="P257" s="948">
        <v>0</v>
      </c>
      <c r="Q257" s="948">
        <v>0</v>
      </c>
    </row>
    <row r="258" spans="1:17">
      <c r="A258" s="213">
        <v>10101</v>
      </c>
      <c r="B258" s="886" t="s">
        <v>784</v>
      </c>
      <c r="C258" s="887">
        <v>1</v>
      </c>
      <c r="D258" s="887">
        <v>1</v>
      </c>
      <c r="E258" s="887">
        <v>4</v>
      </c>
      <c r="F258" s="887">
        <v>5</v>
      </c>
      <c r="G258" s="887">
        <v>5</v>
      </c>
      <c r="H258" s="888">
        <v>3</v>
      </c>
      <c r="J258" s="254">
        <f t="shared" si="49"/>
        <v>1</v>
      </c>
      <c r="K258" s="255">
        <f t="shared" si="50"/>
        <v>-1</v>
      </c>
      <c r="L258" s="256">
        <f t="shared" si="51"/>
        <v>5</v>
      </c>
      <c r="M258" s="255" t="s">
        <v>32</v>
      </c>
      <c r="N258" s="256" t="s">
        <v>32</v>
      </c>
      <c r="P258" s="948">
        <v>0</v>
      </c>
      <c r="Q258" s="948">
        <v>0</v>
      </c>
    </row>
    <row r="259" spans="1:17">
      <c r="A259" s="213">
        <v>10102</v>
      </c>
      <c r="B259" s="886" t="s">
        <v>3735</v>
      </c>
      <c r="C259" s="887">
        <v>1</v>
      </c>
      <c r="D259" s="887">
        <v>1</v>
      </c>
      <c r="E259" s="887">
        <v>4</v>
      </c>
      <c r="F259" s="887">
        <v>5</v>
      </c>
      <c r="G259" s="887">
        <v>5</v>
      </c>
      <c r="H259" s="888">
        <v>3</v>
      </c>
      <c r="J259" s="254">
        <f t="shared" si="49"/>
        <v>1</v>
      </c>
      <c r="K259" s="255">
        <f t="shared" si="50"/>
        <v>-1</v>
      </c>
      <c r="L259" s="256">
        <f t="shared" si="51"/>
        <v>5</v>
      </c>
      <c r="M259" s="255" t="s">
        <v>32</v>
      </c>
      <c r="N259" s="256" t="s">
        <v>32</v>
      </c>
      <c r="P259" s="948">
        <v>0</v>
      </c>
      <c r="Q259" s="948">
        <v>0</v>
      </c>
    </row>
    <row r="260" spans="1:17">
      <c r="A260" s="213">
        <v>10103</v>
      </c>
      <c r="B260" s="886" t="s">
        <v>443</v>
      </c>
      <c r="C260" s="887">
        <v>15</v>
      </c>
      <c r="D260" s="887">
        <v>15</v>
      </c>
      <c r="E260" s="887">
        <v>43</v>
      </c>
      <c r="F260" s="887">
        <v>50</v>
      </c>
      <c r="G260" s="887">
        <v>50</v>
      </c>
      <c r="H260" s="888">
        <v>3</v>
      </c>
      <c r="I260" s="549"/>
      <c r="J260" s="254">
        <f t="shared" si="49"/>
        <v>15</v>
      </c>
      <c r="K260" s="255">
        <f t="shared" si="50"/>
        <v>-2.1428571428571428</v>
      </c>
      <c r="L260" s="256">
        <f t="shared" si="51"/>
        <v>107.14285714285714</v>
      </c>
      <c r="M260" s="255" t="s">
        <v>32</v>
      </c>
      <c r="N260" s="256" t="s">
        <v>32</v>
      </c>
      <c r="P260" s="948">
        <v>0</v>
      </c>
      <c r="Q260" s="948">
        <v>0</v>
      </c>
    </row>
    <row r="261" spans="1:17">
      <c r="A261" s="213">
        <v>10104</v>
      </c>
      <c r="B261" s="886" t="s">
        <v>558</v>
      </c>
      <c r="C261" s="887">
        <v>500</v>
      </c>
      <c r="D261" s="887">
        <v>50</v>
      </c>
      <c r="E261" s="887">
        <v>900</v>
      </c>
      <c r="F261" s="887">
        <v>1350</v>
      </c>
      <c r="G261" s="887">
        <v>1350</v>
      </c>
      <c r="H261" s="888">
        <v>2</v>
      </c>
      <c r="I261" s="436"/>
      <c r="J261" s="259">
        <f t="shared" si="49"/>
        <v>500</v>
      </c>
      <c r="K261" s="259">
        <f>(D261-C261)/(F261-E261)</f>
        <v>-1</v>
      </c>
      <c r="L261" s="259">
        <f>-(K261*E261-C261)</f>
        <v>1400</v>
      </c>
      <c r="M261" s="259" t="s">
        <v>32</v>
      </c>
      <c r="N261" s="260" t="s">
        <v>32</v>
      </c>
      <c r="P261" s="948">
        <v>0</v>
      </c>
      <c r="Q261" s="948">
        <v>0</v>
      </c>
    </row>
    <row r="262" spans="1:17">
      <c r="A262" s="213">
        <v>10105</v>
      </c>
      <c r="B262" s="886" t="s">
        <v>2990</v>
      </c>
      <c r="C262" s="887" t="s">
        <v>356</v>
      </c>
      <c r="D262" s="887" t="s">
        <v>32</v>
      </c>
      <c r="E262" s="887" t="s">
        <v>356</v>
      </c>
      <c r="F262" s="887" t="s">
        <v>32</v>
      </c>
      <c r="G262" s="887" t="s">
        <v>356</v>
      </c>
      <c r="H262" s="888" t="s">
        <v>356</v>
      </c>
      <c r="J262" s="254" t="str">
        <f t="shared" ref="J262:J267" si="52">C262</f>
        <v>-</v>
      </c>
      <c r="K262" s="255" t="e">
        <f>C262/(E262-G262)</f>
        <v>#VALUE!</v>
      </c>
      <c r="L262" s="256" t="e">
        <f>C262-K262*E262</f>
        <v>#VALUE!</v>
      </c>
      <c r="M262" s="255" t="s">
        <v>32</v>
      </c>
      <c r="N262" s="256" t="s">
        <v>32</v>
      </c>
      <c r="P262" s="948" t="s">
        <v>936</v>
      </c>
      <c r="Q262" s="948" t="s">
        <v>936</v>
      </c>
    </row>
    <row r="263" spans="1:17">
      <c r="A263" s="213">
        <v>10106</v>
      </c>
      <c r="B263" s="886" t="s">
        <v>2242</v>
      </c>
      <c r="C263" s="887">
        <v>185</v>
      </c>
      <c r="D263" s="887">
        <v>25</v>
      </c>
      <c r="E263" s="887">
        <v>80</v>
      </c>
      <c r="F263" s="887">
        <v>185</v>
      </c>
      <c r="G263" s="887">
        <v>190</v>
      </c>
      <c r="H263" s="888">
        <v>1</v>
      </c>
      <c r="J263" s="245">
        <f t="shared" si="52"/>
        <v>185</v>
      </c>
      <c r="K263" s="257">
        <f>(D263-C263)/(F263-E263)</f>
        <v>-1.5238095238095237</v>
      </c>
      <c r="L263" s="258">
        <f>-(K263*E263-C263)</f>
        <v>306.90476190476193</v>
      </c>
      <c r="M263" s="257">
        <f>D263/(F263-G263)</f>
        <v>-5</v>
      </c>
      <c r="N263" s="258">
        <f>-(M263*F263-D263)</f>
        <v>950</v>
      </c>
      <c r="P263" s="948">
        <v>0</v>
      </c>
      <c r="Q263" s="948">
        <v>0</v>
      </c>
    </row>
    <row r="264" spans="1:17">
      <c r="A264" s="213">
        <v>10107</v>
      </c>
      <c r="B264" s="886" t="s">
        <v>2243</v>
      </c>
      <c r="C264" s="887">
        <v>185</v>
      </c>
      <c r="D264" s="887">
        <v>25</v>
      </c>
      <c r="E264" s="887">
        <v>80</v>
      </c>
      <c r="F264" s="887">
        <v>185</v>
      </c>
      <c r="G264" s="887">
        <v>190</v>
      </c>
      <c r="H264" s="888">
        <v>1</v>
      </c>
      <c r="J264" s="245">
        <f t="shared" si="52"/>
        <v>185</v>
      </c>
      <c r="K264" s="257">
        <f>(D264-C264)/(F264-E264)</f>
        <v>-1.5238095238095237</v>
      </c>
      <c r="L264" s="258">
        <f>-(K264*E264-C264)</f>
        <v>306.90476190476193</v>
      </c>
      <c r="M264" s="257">
        <f>D264/(F264-G264)</f>
        <v>-5</v>
      </c>
      <c r="N264" s="258">
        <f>-(M264*F264-D264)</f>
        <v>950</v>
      </c>
      <c r="P264" s="948">
        <v>0</v>
      </c>
      <c r="Q264" s="948">
        <v>0</v>
      </c>
    </row>
    <row r="265" spans="1:17">
      <c r="A265" s="213">
        <v>10108</v>
      </c>
      <c r="B265" s="886" t="s">
        <v>2690</v>
      </c>
      <c r="C265" s="887">
        <v>178</v>
      </c>
      <c r="D265" s="887">
        <v>25</v>
      </c>
      <c r="E265" s="887">
        <v>125</v>
      </c>
      <c r="F265" s="887">
        <v>250</v>
      </c>
      <c r="G265" s="887">
        <v>260</v>
      </c>
      <c r="H265" s="888">
        <v>1</v>
      </c>
      <c r="J265" s="245">
        <f t="shared" si="52"/>
        <v>178</v>
      </c>
      <c r="K265" s="257">
        <f>(D265-C265)/(F265-E265)</f>
        <v>-1.224</v>
      </c>
      <c r="L265" s="258">
        <f>-(K265*E265-C265)</f>
        <v>331</v>
      </c>
      <c r="M265" s="257">
        <f>D265/(F265-G265)</f>
        <v>-2.5</v>
      </c>
      <c r="N265" s="258">
        <f>-(M265*F265-D265)</f>
        <v>650</v>
      </c>
      <c r="P265" s="948">
        <v>0</v>
      </c>
      <c r="Q265" s="948">
        <v>0</v>
      </c>
    </row>
    <row r="266" spans="1:17">
      <c r="A266" s="213">
        <v>10109</v>
      </c>
      <c r="B266" s="886" t="s">
        <v>1620</v>
      </c>
      <c r="C266" s="887">
        <v>178</v>
      </c>
      <c r="D266" s="887">
        <v>25</v>
      </c>
      <c r="E266" s="887">
        <v>125</v>
      </c>
      <c r="F266" s="887">
        <v>250</v>
      </c>
      <c r="G266" s="887">
        <v>260</v>
      </c>
      <c r="H266" s="888">
        <v>1</v>
      </c>
      <c r="J266" s="245">
        <f t="shared" si="52"/>
        <v>178</v>
      </c>
      <c r="K266" s="257">
        <f>(D266-C266)/(F266-E266)</f>
        <v>-1.224</v>
      </c>
      <c r="L266" s="258">
        <f>-(K266*E266-C266)</f>
        <v>331</v>
      </c>
      <c r="M266" s="257">
        <f>D266/(F266-G266)</f>
        <v>-2.5</v>
      </c>
      <c r="N266" s="258">
        <f>-(M266*F266-D266)</f>
        <v>650</v>
      </c>
      <c r="P266" s="948">
        <v>0</v>
      </c>
      <c r="Q266" s="948">
        <v>0</v>
      </c>
    </row>
    <row r="267" spans="1:17">
      <c r="A267" s="213">
        <v>10110</v>
      </c>
      <c r="B267" s="886" t="s">
        <v>2599</v>
      </c>
      <c r="C267" s="887">
        <v>70</v>
      </c>
      <c r="D267" s="887">
        <v>25</v>
      </c>
      <c r="E267" s="887">
        <v>70</v>
      </c>
      <c r="F267" s="887">
        <v>150</v>
      </c>
      <c r="G267" s="887">
        <v>155</v>
      </c>
      <c r="H267" s="888">
        <v>1</v>
      </c>
      <c r="J267" s="245">
        <f t="shared" si="52"/>
        <v>70</v>
      </c>
      <c r="K267" s="257">
        <f>(D267-C267)/(F267-E267)</f>
        <v>-0.5625</v>
      </c>
      <c r="L267" s="258">
        <f>-(K267*E267-C267)</f>
        <v>109.375</v>
      </c>
      <c r="M267" s="257">
        <f>D267/(F267-G267)</f>
        <v>-5</v>
      </c>
      <c r="N267" s="258">
        <f>-(M267*F267-D267)</f>
        <v>775</v>
      </c>
      <c r="P267" s="948">
        <v>0</v>
      </c>
      <c r="Q267" s="948">
        <v>0</v>
      </c>
    </row>
    <row r="268" spans="1:17">
      <c r="A268" s="213">
        <v>10111</v>
      </c>
      <c r="B268" s="886" t="s">
        <v>3162</v>
      </c>
      <c r="C268" s="887" t="s">
        <v>347</v>
      </c>
      <c r="D268" s="887" t="s">
        <v>32</v>
      </c>
      <c r="E268" s="887" t="s">
        <v>347</v>
      </c>
      <c r="F268" s="887" t="s">
        <v>32</v>
      </c>
      <c r="G268" s="887" t="s">
        <v>347</v>
      </c>
      <c r="H268" s="888" t="s">
        <v>347</v>
      </c>
      <c r="J268" s="254" t="str">
        <f t="shared" ref="J268:J299" si="53">C268</f>
        <v>-</v>
      </c>
      <c r="K268" s="255" t="e">
        <f>C268/(E268-G268)</f>
        <v>#VALUE!</v>
      </c>
      <c r="L268" s="256" t="e">
        <f>C268-K268*E268</f>
        <v>#VALUE!</v>
      </c>
      <c r="M268" s="255" t="s">
        <v>32</v>
      </c>
      <c r="N268" s="256" t="s">
        <v>32</v>
      </c>
      <c r="P268" s="948" t="s">
        <v>936</v>
      </c>
      <c r="Q268" s="948" t="s">
        <v>936</v>
      </c>
    </row>
    <row r="269" spans="1:17">
      <c r="A269" s="213">
        <v>10112</v>
      </c>
      <c r="B269" s="886" t="s">
        <v>935</v>
      </c>
      <c r="C269" s="887" t="s">
        <v>936</v>
      </c>
      <c r="D269" s="887" t="s">
        <v>32</v>
      </c>
      <c r="E269" s="887" t="s">
        <v>936</v>
      </c>
      <c r="F269" s="887" t="s">
        <v>32</v>
      </c>
      <c r="G269" s="887" t="s">
        <v>936</v>
      </c>
      <c r="H269" s="888" t="s">
        <v>936</v>
      </c>
      <c r="J269" s="254" t="str">
        <f t="shared" si="53"/>
        <v>-</v>
      </c>
      <c r="K269" s="255" t="e">
        <f>C269/(E269-G269)</f>
        <v>#VALUE!</v>
      </c>
      <c r="L269" s="256" t="e">
        <f>C269-K269*E269</f>
        <v>#VALUE!</v>
      </c>
      <c r="M269" s="255" t="s">
        <v>32</v>
      </c>
      <c r="N269" s="256" t="s">
        <v>32</v>
      </c>
      <c r="P269" s="948" t="s">
        <v>936</v>
      </c>
      <c r="Q269" s="948" t="s">
        <v>936</v>
      </c>
    </row>
    <row r="270" spans="1:17">
      <c r="A270" s="213">
        <v>10113</v>
      </c>
      <c r="B270" s="886" t="s">
        <v>752</v>
      </c>
      <c r="C270" s="887">
        <v>210</v>
      </c>
      <c r="D270" s="887">
        <v>25</v>
      </c>
      <c r="E270" s="887">
        <v>90</v>
      </c>
      <c r="F270" s="887">
        <v>220</v>
      </c>
      <c r="G270" s="887">
        <v>237</v>
      </c>
      <c r="H270" s="888">
        <v>1</v>
      </c>
      <c r="J270" s="245">
        <f t="shared" si="53"/>
        <v>210</v>
      </c>
      <c r="K270" s="257">
        <f>(D270-C270)/(F270-E270)</f>
        <v>-1.4230769230769231</v>
      </c>
      <c r="L270" s="258">
        <f>-(K270*E270-C270)</f>
        <v>338.07692307692309</v>
      </c>
      <c r="M270" s="257">
        <f>D270/(F270-G270)</f>
        <v>-1.4705882352941178</v>
      </c>
      <c r="N270" s="258">
        <f>-(M270*F270-D270)</f>
        <v>348.52941176470591</v>
      </c>
      <c r="P270" s="948">
        <v>0</v>
      </c>
      <c r="Q270" s="948">
        <v>0</v>
      </c>
    </row>
    <row r="271" spans="1:17">
      <c r="A271" s="213">
        <v>10114</v>
      </c>
      <c r="B271" s="886" t="s">
        <v>753</v>
      </c>
      <c r="C271" s="887">
        <v>210</v>
      </c>
      <c r="D271" s="887">
        <v>25</v>
      </c>
      <c r="E271" s="887">
        <v>90</v>
      </c>
      <c r="F271" s="887">
        <v>220</v>
      </c>
      <c r="G271" s="887">
        <v>237</v>
      </c>
      <c r="H271" s="888">
        <v>1</v>
      </c>
      <c r="J271" s="245">
        <f t="shared" si="53"/>
        <v>210</v>
      </c>
      <c r="K271" s="257">
        <f>(D271-C271)/(F271-E271)</f>
        <v>-1.4230769230769231</v>
      </c>
      <c r="L271" s="258">
        <f>-(K271*E271-C271)</f>
        <v>338.07692307692309</v>
      </c>
      <c r="M271" s="257">
        <f>D271/(F271-G271)</f>
        <v>-1.4705882352941178</v>
      </c>
      <c r="N271" s="258">
        <f>-(M271*F271-D271)</f>
        <v>348.52941176470591</v>
      </c>
      <c r="P271" s="948">
        <v>0</v>
      </c>
      <c r="Q271" s="948">
        <v>0</v>
      </c>
    </row>
    <row r="272" spans="1:17">
      <c r="A272" s="213">
        <v>10115</v>
      </c>
      <c r="B272" s="886" t="s">
        <v>3444</v>
      </c>
      <c r="C272" s="887">
        <v>80</v>
      </c>
      <c r="D272" s="887">
        <v>80</v>
      </c>
      <c r="E272" s="887">
        <v>55</v>
      </c>
      <c r="F272" s="887">
        <v>115</v>
      </c>
      <c r="G272" s="887">
        <v>115</v>
      </c>
      <c r="H272" s="888">
        <v>3</v>
      </c>
      <c r="J272" s="254">
        <f t="shared" si="53"/>
        <v>80</v>
      </c>
      <c r="K272" s="255">
        <f>C272/(E272-G272)</f>
        <v>-1.3333333333333333</v>
      </c>
      <c r="L272" s="256">
        <f>C272-K272*E272</f>
        <v>153.33333333333331</v>
      </c>
      <c r="M272" s="255" t="s">
        <v>32</v>
      </c>
      <c r="N272" s="256" t="s">
        <v>32</v>
      </c>
      <c r="P272" s="948">
        <v>0</v>
      </c>
      <c r="Q272" s="948">
        <v>0</v>
      </c>
    </row>
    <row r="273" spans="1:17">
      <c r="A273" s="213">
        <v>10116</v>
      </c>
      <c r="B273" s="886" t="s">
        <v>3445</v>
      </c>
      <c r="C273" s="887">
        <v>80</v>
      </c>
      <c r="D273" s="887">
        <v>80</v>
      </c>
      <c r="E273" s="887">
        <v>55</v>
      </c>
      <c r="F273" s="887">
        <v>115</v>
      </c>
      <c r="G273" s="887">
        <v>115</v>
      </c>
      <c r="H273" s="888">
        <v>3</v>
      </c>
      <c r="J273" s="254">
        <f t="shared" si="53"/>
        <v>80</v>
      </c>
      <c r="K273" s="255">
        <f>C273/(E273-G273)</f>
        <v>-1.3333333333333333</v>
      </c>
      <c r="L273" s="256">
        <f>C273-K273*E273</f>
        <v>153.33333333333331</v>
      </c>
      <c r="M273" s="255" t="s">
        <v>32</v>
      </c>
      <c r="N273" s="256" t="s">
        <v>32</v>
      </c>
      <c r="P273" s="948">
        <v>0</v>
      </c>
      <c r="Q273" s="948">
        <v>0</v>
      </c>
    </row>
    <row r="274" spans="1:17">
      <c r="A274" s="213">
        <v>10117</v>
      </c>
      <c r="B274" s="886" t="s">
        <v>2602</v>
      </c>
      <c r="C274" s="887">
        <v>50</v>
      </c>
      <c r="D274" s="887">
        <v>50</v>
      </c>
      <c r="E274" s="887">
        <v>50</v>
      </c>
      <c r="F274" s="887">
        <v>100</v>
      </c>
      <c r="G274" s="887">
        <v>100</v>
      </c>
      <c r="H274" s="888">
        <v>3</v>
      </c>
      <c r="J274" s="254">
        <f t="shared" si="53"/>
        <v>50</v>
      </c>
      <c r="K274" s="255">
        <f>C274/(E274-G274)</f>
        <v>-1</v>
      </c>
      <c r="L274" s="256">
        <f>C274-K274*E274</f>
        <v>100</v>
      </c>
      <c r="M274" s="255" t="s">
        <v>32</v>
      </c>
      <c r="N274" s="256" t="s">
        <v>32</v>
      </c>
      <c r="P274" s="948">
        <v>0</v>
      </c>
      <c r="Q274" s="948">
        <v>0</v>
      </c>
    </row>
    <row r="275" spans="1:17">
      <c r="A275" s="213">
        <v>10118</v>
      </c>
      <c r="B275" s="886" t="s">
        <v>1189</v>
      </c>
      <c r="C275" s="887">
        <v>22</v>
      </c>
      <c r="D275" s="887">
        <v>12</v>
      </c>
      <c r="E275" s="887">
        <v>0</v>
      </c>
      <c r="F275" s="887">
        <v>10</v>
      </c>
      <c r="G275" s="887">
        <v>10</v>
      </c>
      <c r="H275" s="888">
        <v>2</v>
      </c>
      <c r="J275" s="259">
        <f t="shared" si="53"/>
        <v>22</v>
      </c>
      <c r="K275" s="259">
        <f t="shared" ref="K275:K280" si="54">(D275-C275)/(F275-E275)</f>
        <v>-1</v>
      </c>
      <c r="L275" s="259">
        <f t="shared" ref="L275:L280" si="55">-(K275*E275-C275)</f>
        <v>22</v>
      </c>
      <c r="M275" s="259" t="s">
        <v>32</v>
      </c>
      <c r="N275" s="260" t="s">
        <v>32</v>
      </c>
      <c r="P275" s="948">
        <v>0</v>
      </c>
      <c r="Q275" s="948">
        <v>0</v>
      </c>
    </row>
    <row r="276" spans="1:17">
      <c r="A276" s="213">
        <v>10119</v>
      </c>
      <c r="B276" s="886" t="s">
        <v>2726</v>
      </c>
      <c r="C276" s="887">
        <v>22</v>
      </c>
      <c r="D276" s="887">
        <v>12</v>
      </c>
      <c r="E276" s="887">
        <v>0</v>
      </c>
      <c r="F276" s="887">
        <v>10</v>
      </c>
      <c r="G276" s="887">
        <v>10</v>
      </c>
      <c r="H276" s="888">
        <v>2</v>
      </c>
      <c r="J276" s="259">
        <f t="shared" si="53"/>
        <v>22</v>
      </c>
      <c r="K276" s="259">
        <f t="shared" si="54"/>
        <v>-1</v>
      </c>
      <c r="L276" s="259">
        <f t="shared" si="55"/>
        <v>22</v>
      </c>
      <c r="M276" s="259" t="s">
        <v>32</v>
      </c>
      <c r="N276" s="260" t="s">
        <v>32</v>
      </c>
      <c r="P276" s="948">
        <v>0</v>
      </c>
      <c r="Q276" s="948">
        <v>0</v>
      </c>
    </row>
    <row r="277" spans="1:17">
      <c r="A277" s="213">
        <v>10120</v>
      </c>
      <c r="B277" s="886" t="s">
        <v>2696</v>
      </c>
      <c r="C277" s="887">
        <v>22</v>
      </c>
      <c r="D277" s="887">
        <v>12</v>
      </c>
      <c r="E277" s="887">
        <v>0</v>
      </c>
      <c r="F277" s="887">
        <v>10</v>
      </c>
      <c r="G277" s="887">
        <v>10</v>
      </c>
      <c r="H277" s="888">
        <v>2</v>
      </c>
      <c r="J277" s="259">
        <f t="shared" si="53"/>
        <v>22</v>
      </c>
      <c r="K277" s="259">
        <f t="shared" si="54"/>
        <v>-1</v>
      </c>
      <c r="L277" s="259">
        <f t="shared" si="55"/>
        <v>22</v>
      </c>
      <c r="M277" s="259" t="s">
        <v>32</v>
      </c>
      <c r="N277" s="260" t="s">
        <v>32</v>
      </c>
      <c r="P277" s="948">
        <v>0</v>
      </c>
      <c r="Q277" s="948">
        <v>0</v>
      </c>
    </row>
    <row r="278" spans="1:17">
      <c r="A278" s="213">
        <v>10121</v>
      </c>
      <c r="B278" s="886" t="s">
        <v>1446</v>
      </c>
      <c r="C278" s="887">
        <v>22</v>
      </c>
      <c r="D278" s="887">
        <v>12</v>
      </c>
      <c r="E278" s="887">
        <v>0</v>
      </c>
      <c r="F278" s="887">
        <v>10</v>
      </c>
      <c r="G278" s="887">
        <v>10</v>
      </c>
      <c r="H278" s="888">
        <v>2</v>
      </c>
      <c r="J278" s="259">
        <f t="shared" si="53"/>
        <v>22</v>
      </c>
      <c r="K278" s="259">
        <f t="shared" si="54"/>
        <v>-1</v>
      </c>
      <c r="L278" s="259">
        <f t="shared" si="55"/>
        <v>22</v>
      </c>
      <c r="M278" s="259" t="s">
        <v>32</v>
      </c>
      <c r="N278" s="260" t="s">
        <v>32</v>
      </c>
      <c r="P278" s="948">
        <v>0</v>
      </c>
      <c r="Q278" s="948">
        <v>0</v>
      </c>
    </row>
    <row r="279" spans="1:17">
      <c r="A279" s="213">
        <v>10122</v>
      </c>
      <c r="B279" s="886" t="s">
        <v>578</v>
      </c>
      <c r="C279" s="887">
        <v>18</v>
      </c>
      <c r="D279" s="887">
        <v>12</v>
      </c>
      <c r="E279" s="887">
        <v>0</v>
      </c>
      <c r="F279" s="887">
        <v>6</v>
      </c>
      <c r="G279" s="887">
        <v>6</v>
      </c>
      <c r="H279" s="888">
        <v>2</v>
      </c>
      <c r="J279" s="259">
        <f t="shared" si="53"/>
        <v>18</v>
      </c>
      <c r="K279" s="259">
        <f t="shared" si="54"/>
        <v>-1</v>
      </c>
      <c r="L279" s="259">
        <f t="shared" si="55"/>
        <v>18</v>
      </c>
      <c r="M279" s="259" t="s">
        <v>32</v>
      </c>
      <c r="N279" s="260" t="s">
        <v>32</v>
      </c>
      <c r="P279" s="948">
        <v>0</v>
      </c>
      <c r="Q279" s="948">
        <v>0</v>
      </c>
    </row>
    <row r="280" spans="1:17">
      <c r="A280" s="213">
        <v>10123</v>
      </c>
      <c r="B280" s="886" t="s">
        <v>3499</v>
      </c>
      <c r="C280" s="887">
        <v>18</v>
      </c>
      <c r="D280" s="887">
        <v>12</v>
      </c>
      <c r="E280" s="887">
        <v>0</v>
      </c>
      <c r="F280" s="887">
        <v>6</v>
      </c>
      <c r="G280" s="887">
        <v>6</v>
      </c>
      <c r="H280" s="888">
        <v>2</v>
      </c>
      <c r="J280" s="259">
        <f t="shared" si="53"/>
        <v>18</v>
      </c>
      <c r="K280" s="259">
        <f t="shared" si="54"/>
        <v>-1</v>
      </c>
      <c r="L280" s="259">
        <f t="shared" si="55"/>
        <v>18</v>
      </c>
      <c r="M280" s="259" t="s">
        <v>32</v>
      </c>
      <c r="N280" s="260" t="s">
        <v>32</v>
      </c>
      <c r="P280" s="948">
        <v>0</v>
      </c>
      <c r="Q280" s="948">
        <v>0</v>
      </c>
    </row>
    <row r="281" spans="1:17">
      <c r="A281" s="706">
        <v>10124</v>
      </c>
      <c r="B281" s="886" t="s">
        <v>2604</v>
      </c>
      <c r="C281" s="887">
        <v>178</v>
      </c>
      <c r="D281" s="887">
        <v>25</v>
      </c>
      <c r="E281" s="887">
        <v>85</v>
      </c>
      <c r="F281" s="887">
        <v>210</v>
      </c>
      <c r="G281" s="887">
        <v>221</v>
      </c>
      <c r="H281" s="888">
        <v>1</v>
      </c>
      <c r="J281" s="245">
        <f t="shared" si="53"/>
        <v>178</v>
      </c>
      <c r="K281" s="257">
        <f>(D281-C281)/(F281-E281)</f>
        <v>-1.224</v>
      </c>
      <c r="L281" s="258">
        <f>-(K281*E281-C281)</f>
        <v>282.03999999999996</v>
      </c>
      <c r="M281" s="257">
        <f>D281/(F281-G281)</f>
        <v>-2.2727272727272729</v>
      </c>
      <c r="N281" s="258">
        <f>-(M281*F281-D281)</f>
        <v>502.27272727272731</v>
      </c>
      <c r="P281" s="948">
        <v>0</v>
      </c>
      <c r="Q281" s="948">
        <v>0</v>
      </c>
    </row>
    <row r="282" spans="1:17">
      <c r="A282" s="706">
        <v>10125</v>
      </c>
      <c r="B282" s="886" t="s">
        <v>2654</v>
      </c>
      <c r="C282" s="887">
        <v>245</v>
      </c>
      <c r="D282" s="887">
        <v>245</v>
      </c>
      <c r="E282" s="887">
        <v>85</v>
      </c>
      <c r="F282" s="887">
        <v>210</v>
      </c>
      <c r="G282" s="887">
        <v>210</v>
      </c>
      <c r="H282" s="888">
        <v>3</v>
      </c>
      <c r="J282" s="254">
        <f t="shared" si="53"/>
        <v>245</v>
      </c>
      <c r="K282" s="255">
        <f>C282/(E282-G282)</f>
        <v>-1.96</v>
      </c>
      <c r="L282" s="256">
        <f>C282-K282*E282</f>
        <v>411.6</v>
      </c>
      <c r="M282" s="255" t="s">
        <v>32</v>
      </c>
      <c r="N282" s="256" t="s">
        <v>32</v>
      </c>
      <c r="P282" s="948">
        <v>0</v>
      </c>
      <c r="Q282" s="948">
        <v>0</v>
      </c>
    </row>
    <row r="283" spans="1:17">
      <c r="A283" s="706">
        <v>10126</v>
      </c>
      <c r="B283" s="886" t="s">
        <v>2655</v>
      </c>
      <c r="C283" s="887">
        <v>245</v>
      </c>
      <c r="D283" s="887">
        <v>245</v>
      </c>
      <c r="E283" s="887">
        <v>85</v>
      </c>
      <c r="F283" s="887">
        <v>210</v>
      </c>
      <c r="G283" s="887">
        <v>210</v>
      </c>
      <c r="H283" s="888">
        <v>3</v>
      </c>
      <c r="J283" s="254">
        <f t="shared" si="53"/>
        <v>245</v>
      </c>
      <c r="K283" s="255">
        <f>C283/(E283-G283)</f>
        <v>-1.96</v>
      </c>
      <c r="L283" s="256">
        <f>C283-K283*E283</f>
        <v>411.6</v>
      </c>
      <c r="M283" s="255" t="s">
        <v>32</v>
      </c>
      <c r="N283" s="256" t="s">
        <v>32</v>
      </c>
      <c r="P283" s="948">
        <v>0</v>
      </c>
      <c r="Q283" s="948">
        <v>0</v>
      </c>
    </row>
    <row r="284" spans="1:17">
      <c r="A284" s="706">
        <v>10127</v>
      </c>
      <c r="B284" s="886" t="s">
        <v>1872</v>
      </c>
      <c r="C284" s="887">
        <v>235</v>
      </c>
      <c r="D284" s="887">
        <v>235</v>
      </c>
      <c r="E284" s="887">
        <v>90</v>
      </c>
      <c r="F284" s="887">
        <v>220</v>
      </c>
      <c r="G284" s="887">
        <v>220</v>
      </c>
      <c r="H284" s="888">
        <v>3</v>
      </c>
      <c r="J284" s="254">
        <f t="shared" si="53"/>
        <v>235</v>
      </c>
      <c r="K284" s="255">
        <f>C284/(E284-G284)</f>
        <v>-1.8076923076923077</v>
      </c>
      <c r="L284" s="256">
        <f>C284-K284*E284</f>
        <v>397.69230769230774</v>
      </c>
      <c r="M284" s="255" t="s">
        <v>32</v>
      </c>
      <c r="N284" s="256" t="s">
        <v>32</v>
      </c>
      <c r="P284" s="948">
        <v>0</v>
      </c>
      <c r="Q284" s="948">
        <v>0</v>
      </c>
    </row>
    <row r="285" spans="1:17">
      <c r="A285" s="706">
        <v>10128</v>
      </c>
      <c r="B285" s="886" t="s">
        <v>1873</v>
      </c>
      <c r="C285" s="887">
        <v>235</v>
      </c>
      <c r="D285" s="887">
        <v>235</v>
      </c>
      <c r="E285" s="887">
        <v>90</v>
      </c>
      <c r="F285" s="887">
        <v>220</v>
      </c>
      <c r="G285" s="887">
        <v>220</v>
      </c>
      <c r="H285" s="888">
        <v>3</v>
      </c>
      <c r="J285" s="254">
        <f t="shared" si="53"/>
        <v>235</v>
      </c>
      <c r="K285" s="255">
        <f>C285/(E285-G285)</f>
        <v>-1.8076923076923077</v>
      </c>
      <c r="L285" s="256">
        <f>C285-K285*E285</f>
        <v>397.69230769230774</v>
      </c>
      <c r="M285" s="255" t="s">
        <v>32</v>
      </c>
      <c r="N285" s="256" t="s">
        <v>32</v>
      </c>
      <c r="P285" s="948">
        <v>0</v>
      </c>
      <c r="Q285" s="948">
        <v>0</v>
      </c>
    </row>
    <row r="286" spans="1:17">
      <c r="A286" s="706">
        <v>10129</v>
      </c>
      <c r="B286" s="886" t="s">
        <v>3591</v>
      </c>
      <c r="C286" s="887">
        <v>178</v>
      </c>
      <c r="D286" s="887">
        <v>25</v>
      </c>
      <c r="E286" s="887">
        <v>85</v>
      </c>
      <c r="F286" s="887">
        <v>210</v>
      </c>
      <c r="G286" s="887">
        <v>221</v>
      </c>
      <c r="H286" s="888">
        <v>1</v>
      </c>
      <c r="J286" s="245">
        <f t="shared" si="53"/>
        <v>178</v>
      </c>
      <c r="K286" s="257">
        <f>(D286-C286)/(F286-E286)</f>
        <v>-1.224</v>
      </c>
      <c r="L286" s="258">
        <f>-(K286*E286-C286)</f>
        <v>282.03999999999996</v>
      </c>
      <c r="M286" s="257">
        <f>D286/(F286-G286)</f>
        <v>-2.2727272727272729</v>
      </c>
      <c r="N286" s="258">
        <f>-(M286*F286-D286)</f>
        <v>502.27272727272731</v>
      </c>
      <c r="P286" s="948">
        <v>0</v>
      </c>
      <c r="Q286" s="948">
        <v>0</v>
      </c>
    </row>
    <row r="287" spans="1:17">
      <c r="A287" s="706">
        <v>10130</v>
      </c>
      <c r="B287" s="886" t="s">
        <v>3217</v>
      </c>
      <c r="C287" s="887">
        <v>15</v>
      </c>
      <c r="D287" s="887">
        <v>15</v>
      </c>
      <c r="E287" s="887">
        <v>43</v>
      </c>
      <c r="F287" s="887">
        <v>50</v>
      </c>
      <c r="G287" s="887">
        <v>50</v>
      </c>
      <c r="H287" s="888">
        <v>3</v>
      </c>
      <c r="J287" s="254">
        <f t="shared" si="53"/>
        <v>15</v>
      </c>
      <c r="K287" s="255">
        <f>C287/(E287-G287)</f>
        <v>-2.1428571428571428</v>
      </c>
      <c r="L287" s="256">
        <f>C287-K287*E287</f>
        <v>107.14285714285714</v>
      </c>
      <c r="M287" s="255" t="s">
        <v>32</v>
      </c>
      <c r="N287" s="256" t="s">
        <v>32</v>
      </c>
      <c r="P287" s="948">
        <v>0</v>
      </c>
      <c r="Q287" s="948">
        <v>0</v>
      </c>
    </row>
    <row r="288" spans="1:17">
      <c r="A288" s="706">
        <v>10131</v>
      </c>
      <c r="B288" s="886" t="s">
        <v>3030</v>
      </c>
      <c r="C288" s="887">
        <v>325</v>
      </c>
      <c r="D288" s="887">
        <v>25</v>
      </c>
      <c r="E288" s="887">
        <v>400</v>
      </c>
      <c r="F288" s="887">
        <v>700</v>
      </c>
      <c r="G288" s="887">
        <v>700</v>
      </c>
      <c r="H288" s="888">
        <v>2</v>
      </c>
      <c r="J288" s="259">
        <f t="shared" si="53"/>
        <v>325</v>
      </c>
      <c r="K288" s="259">
        <f>(D288-C288)/(F288-E288)</f>
        <v>-1</v>
      </c>
      <c r="L288" s="259">
        <f>-(K288*E288-C288)</f>
        <v>725</v>
      </c>
      <c r="M288" s="259" t="s">
        <v>32</v>
      </c>
      <c r="N288" s="260" t="s">
        <v>32</v>
      </c>
      <c r="P288" s="948">
        <v>0</v>
      </c>
      <c r="Q288" s="948">
        <v>0</v>
      </c>
    </row>
    <row r="289" spans="1:17">
      <c r="A289" s="706">
        <v>10132</v>
      </c>
      <c r="B289" s="886" t="s">
        <v>3031</v>
      </c>
      <c r="C289" s="887">
        <v>325</v>
      </c>
      <c r="D289" s="887">
        <v>25</v>
      </c>
      <c r="E289" s="887">
        <v>400</v>
      </c>
      <c r="F289" s="887">
        <v>700</v>
      </c>
      <c r="G289" s="887">
        <v>700</v>
      </c>
      <c r="H289" s="888">
        <v>2</v>
      </c>
      <c r="J289" s="259">
        <f t="shared" si="53"/>
        <v>325</v>
      </c>
      <c r="K289" s="259">
        <f>(D289-C289)/(F289-E289)</f>
        <v>-1</v>
      </c>
      <c r="L289" s="259">
        <f>-(K289*E289-C289)</f>
        <v>725</v>
      </c>
      <c r="M289" s="259" t="s">
        <v>32</v>
      </c>
      <c r="N289" s="260" t="s">
        <v>32</v>
      </c>
      <c r="P289" s="948">
        <v>0</v>
      </c>
      <c r="Q289" s="948">
        <v>0</v>
      </c>
    </row>
    <row r="290" spans="1:17">
      <c r="A290" s="706">
        <v>10133</v>
      </c>
      <c r="B290" s="886" t="s">
        <v>1159</v>
      </c>
      <c r="C290" s="887">
        <v>10</v>
      </c>
      <c r="D290" s="887">
        <v>7</v>
      </c>
      <c r="E290" s="887">
        <v>0</v>
      </c>
      <c r="F290" s="887">
        <v>3</v>
      </c>
      <c r="G290" s="887">
        <v>3</v>
      </c>
      <c r="H290" s="888">
        <v>2</v>
      </c>
      <c r="J290" s="259">
        <f t="shared" si="53"/>
        <v>10</v>
      </c>
      <c r="K290" s="259">
        <f>(D290-C290)/(F290-E290)</f>
        <v>-1</v>
      </c>
      <c r="L290" s="259">
        <f>-(K290*E290-C290)</f>
        <v>10</v>
      </c>
      <c r="M290" s="259" t="s">
        <v>32</v>
      </c>
      <c r="N290" s="260" t="s">
        <v>32</v>
      </c>
      <c r="P290" s="948">
        <v>0</v>
      </c>
      <c r="Q290" s="948">
        <v>0</v>
      </c>
    </row>
    <row r="291" spans="1:17">
      <c r="A291" s="706">
        <v>10134</v>
      </c>
      <c r="B291" s="886" t="s">
        <v>1673</v>
      </c>
      <c r="C291" s="887">
        <v>10</v>
      </c>
      <c r="D291" s="887">
        <v>7</v>
      </c>
      <c r="E291" s="887">
        <v>0</v>
      </c>
      <c r="F291" s="887">
        <v>3</v>
      </c>
      <c r="G291" s="887">
        <v>3</v>
      </c>
      <c r="H291" s="888">
        <v>2</v>
      </c>
      <c r="J291" s="259">
        <f t="shared" si="53"/>
        <v>10</v>
      </c>
      <c r="K291" s="259">
        <f>(D291-C291)/(F291-E291)</f>
        <v>-1</v>
      </c>
      <c r="L291" s="259">
        <f>-(K291*E291-C291)</f>
        <v>10</v>
      </c>
      <c r="M291" s="259" t="s">
        <v>32</v>
      </c>
      <c r="N291" s="260" t="s">
        <v>32</v>
      </c>
      <c r="P291" s="948">
        <v>0</v>
      </c>
      <c r="Q291" s="948">
        <v>0</v>
      </c>
    </row>
    <row r="292" spans="1:17">
      <c r="A292" s="706">
        <v>10135</v>
      </c>
      <c r="B292" s="769" t="s">
        <v>930</v>
      </c>
      <c r="C292" s="887">
        <v>20</v>
      </c>
      <c r="D292" s="887">
        <v>12</v>
      </c>
      <c r="E292" s="887">
        <v>12</v>
      </c>
      <c r="F292" s="887">
        <v>20</v>
      </c>
      <c r="G292" s="887">
        <v>20</v>
      </c>
      <c r="H292" s="888">
        <v>2</v>
      </c>
      <c r="J292" s="259">
        <f t="shared" si="53"/>
        <v>20</v>
      </c>
      <c r="K292" s="259">
        <f>(D292-C292)/(F292-E292)</f>
        <v>-1</v>
      </c>
      <c r="L292" s="259">
        <f>-(K292*E292-C292)</f>
        <v>32</v>
      </c>
      <c r="M292" s="259" t="s">
        <v>32</v>
      </c>
      <c r="N292" s="260" t="s">
        <v>32</v>
      </c>
      <c r="P292" s="948">
        <v>0</v>
      </c>
      <c r="Q292" s="948">
        <v>0</v>
      </c>
    </row>
    <row r="293" spans="1:17">
      <c r="A293" s="706">
        <v>10136</v>
      </c>
      <c r="B293" s="886" t="s">
        <v>2936</v>
      </c>
      <c r="C293" s="887">
        <v>1</v>
      </c>
      <c r="D293" s="887">
        <v>1</v>
      </c>
      <c r="E293" s="887">
        <v>6</v>
      </c>
      <c r="F293" s="887">
        <v>7</v>
      </c>
      <c r="G293" s="887">
        <v>7</v>
      </c>
      <c r="H293" s="888">
        <v>3</v>
      </c>
      <c r="J293" s="254">
        <f t="shared" si="53"/>
        <v>1</v>
      </c>
      <c r="K293" s="255">
        <f>C293/(E293-G293)</f>
        <v>-1</v>
      </c>
      <c r="L293" s="256">
        <f>C293-K293*E293</f>
        <v>7</v>
      </c>
      <c r="M293" s="255" t="s">
        <v>32</v>
      </c>
      <c r="N293" s="256" t="s">
        <v>32</v>
      </c>
      <c r="P293" s="948">
        <v>0</v>
      </c>
      <c r="Q293" s="948">
        <v>0</v>
      </c>
    </row>
    <row r="294" spans="1:17">
      <c r="A294" s="706">
        <v>10137</v>
      </c>
      <c r="B294" s="886" t="s">
        <v>2493</v>
      </c>
      <c r="C294" s="887">
        <v>1</v>
      </c>
      <c r="D294" s="887">
        <v>1</v>
      </c>
      <c r="E294" s="887">
        <v>3</v>
      </c>
      <c r="F294" s="887">
        <v>4</v>
      </c>
      <c r="G294" s="887">
        <v>4</v>
      </c>
      <c r="H294" s="888">
        <v>3</v>
      </c>
      <c r="J294" s="254">
        <f t="shared" si="53"/>
        <v>1</v>
      </c>
      <c r="K294" s="255">
        <f>C294/(E294-G294)</f>
        <v>-1</v>
      </c>
      <c r="L294" s="256">
        <f>C294-K294*E294</f>
        <v>4</v>
      </c>
      <c r="M294" s="255" t="s">
        <v>32</v>
      </c>
      <c r="N294" s="256" t="s">
        <v>32</v>
      </c>
      <c r="P294" s="948">
        <v>0</v>
      </c>
      <c r="Q294" s="948">
        <v>0</v>
      </c>
    </row>
    <row r="295" spans="1:17">
      <c r="A295" s="706">
        <v>10138</v>
      </c>
      <c r="B295" s="886" t="s">
        <v>2161</v>
      </c>
      <c r="C295" s="887">
        <v>1</v>
      </c>
      <c r="D295" s="887">
        <v>1</v>
      </c>
      <c r="E295" s="887">
        <v>6</v>
      </c>
      <c r="F295" s="887">
        <v>7</v>
      </c>
      <c r="G295" s="887">
        <v>7</v>
      </c>
      <c r="H295" s="888">
        <v>3</v>
      </c>
      <c r="J295" s="254">
        <f t="shared" si="53"/>
        <v>1</v>
      </c>
      <c r="K295" s="255">
        <f>C295/(E295-G295)</f>
        <v>-1</v>
      </c>
      <c r="L295" s="256">
        <f>C295-K295*E295</f>
        <v>7</v>
      </c>
      <c r="M295" s="255" t="s">
        <v>32</v>
      </c>
      <c r="N295" s="256" t="s">
        <v>32</v>
      </c>
      <c r="P295" s="948">
        <v>0</v>
      </c>
      <c r="Q295" s="948">
        <v>0</v>
      </c>
    </row>
    <row r="296" spans="1:17">
      <c r="A296" s="706">
        <v>10139</v>
      </c>
      <c r="B296" s="886" t="s">
        <v>116</v>
      </c>
      <c r="C296" s="887">
        <v>22</v>
      </c>
      <c r="D296" s="887">
        <v>12</v>
      </c>
      <c r="E296" s="887">
        <v>0</v>
      </c>
      <c r="F296" s="887">
        <v>10</v>
      </c>
      <c r="G296" s="887">
        <v>10</v>
      </c>
      <c r="H296" s="888">
        <v>2</v>
      </c>
      <c r="J296" s="259">
        <f t="shared" si="53"/>
        <v>22</v>
      </c>
      <c r="K296" s="259">
        <f t="shared" ref="K296:K301" si="56">(D296-C296)/(F296-E296)</f>
        <v>-1</v>
      </c>
      <c r="L296" s="259">
        <f t="shared" ref="L296:L301" si="57">-(K296*E296-C296)</f>
        <v>22</v>
      </c>
      <c r="M296" s="259" t="s">
        <v>32</v>
      </c>
      <c r="N296" s="260" t="s">
        <v>32</v>
      </c>
      <c r="P296" s="948">
        <v>0</v>
      </c>
      <c r="Q296" s="948">
        <v>0</v>
      </c>
    </row>
    <row r="297" spans="1:17">
      <c r="A297" s="706">
        <v>10140</v>
      </c>
      <c r="B297" s="886" t="s">
        <v>3806</v>
      </c>
      <c r="C297" s="887">
        <v>22</v>
      </c>
      <c r="D297" s="887">
        <v>12</v>
      </c>
      <c r="E297" s="887">
        <v>0</v>
      </c>
      <c r="F297" s="887">
        <v>10</v>
      </c>
      <c r="G297" s="887">
        <v>10</v>
      </c>
      <c r="H297" s="888">
        <v>2</v>
      </c>
      <c r="J297" s="259">
        <f t="shared" si="53"/>
        <v>22</v>
      </c>
      <c r="K297" s="259">
        <f t="shared" si="56"/>
        <v>-1</v>
      </c>
      <c r="L297" s="259">
        <f t="shared" si="57"/>
        <v>22</v>
      </c>
      <c r="M297" s="259" t="s">
        <v>32</v>
      </c>
      <c r="N297" s="260" t="s">
        <v>32</v>
      </c>
      <c r="P297" s="948">
        <v>0</v>
      </c>
      <c r="Q297" s="948">
        <v>0</v>
      </c>
    </row>
    <row r="298" spans="1:17">
      <c r="A298" s="706">
        <v>10141</v>
      </c>
      <c r="B298" s="886" t="s">
        <v>3339</v>
      </c>
      <c r="C298" s="887">
        <v>201</v>
      </c>
      <c r="D298" s="887">
        <v>50</v>
      </c>
      <c r="E298" s="887">
        <v>105</v>
      </c>
      <c r="F298" s="887">
        <v>210</v>
      </c>
      <c r="G298" s="887">
        <v>228</v>
      </c>
      <c r="H298" s="888">
        <v>1</v>
      </c>
      <c r="J298" s="245">
        <f t="shared" si="53"/>
        <v>201</v>
      </c>
      <c r="K298" s="257">
        <f>(D298-C298)/(F298-E298)</f>
        <v>-1.4380952380952381</v>
      </c>
      <c r="L298" s="258">
        <f>-(K298*E298-C298)</f>
        <v>352</v>
      </c>
      <c r="M298" s="257">
        <f>D298/(F298-G298)</f>
        <v>-2.7777777777777777</v>
      </c>
      <c r="N298" s="258">
        <f>-(M298*F298-D298)</f>
        <v>633.33333333333326</v>
      </c>
      <c r="P298" s="948">
        <v>0</v>
      </c>
      <c r="Q298" s="948">
        <v>0</v>
      </c>
    </row>
    <row r="299" spans="1:17">
      <c r="A299" s="706">
        <v>10142</v>
      </c>
      <c r="B299" s="886" t="s">
        <v>3340</v>
      </c>
      <c r="C299" s="887">
        <v>201</v>
      </c>
      <c r="D299" s="887">
        <v>50</v>
      </c>
      <c r="E299" s="887">
        <v>105</v>
      </c>
      <c r="F299" s="887">
        <v>210</v>
      </c>
      <c r="G299" s="887">
        <v>228</v>
      </c>
      <c r="H299" s="888">
        <v>1</v>
      </c>
      <c r="J299" s="245">
        <f t="shared" si="53"/>
        <v>201</v>
      </c>
      <c r="K299" s="257">
        <f>(D299-C299)/(F299-E299)</f>
        <v>-1.4380952380952381</v>
      </c>
      <c r="L299" s="258">
        <f>-(K299*E299-C299)</f>
        <v>352</v>
      </c>
      <c r="M299" s="257">
        <f>D299/(F299-G299)</f>
        <v>-2.7777777777777777</v>
      </c>
      <c r="N299" s="258">
        <f>-(M299*F299-D299)</f>
        <v>633.33333333333326</v>
      </c>
      <c r="P299" s="948">
        <v>0</v>
      </c>
      <c r="Q299" s="948">
        <v>0</v>
      </c>
    </row>
    <row r="300" spans="1:17">
      <c r="A300" s="706">
        <v>10143</v>
      </c>
      <c r="B300" s="886" t="s">
        <v>739</v>
      </c>
      <c r="C300" s="887">
        <v>325</v>
      </c>
      <c r="D300" s="887">
        <v>25</v>
      </c>
      <c r="E300" s="887">
        <v>100</v>
      </c>
      <c r="F300" s="887">
        <v>400</v>
      </c>
      <c r="G300" s="887">
        <v>400</v>
      </c>
      <c r="H300" s="888">
        <v>2</v>
      </c>
      <c r="J300" s="259">
        <f t="shared" ref="J300:J316" si="58">C300</f>
        <v>325</v>
      </c>
      <c r="K300" s="259">
        <f t="shared" si="56"/>
        <v>-1</v>
      </c>
      <c r="L300" s="259">
        <f t="shared" si="57"/>
        <v>425</v>
      </c>
      <c r="M300" s="259" t="s">
        <v>32</v>
      </c>
      <c r="N300" s="260" t="s">
        <v>32</v>
      </c>
      <c r="P300" s="948">
        <v>0</v>
      </c>
      <c r="Q300" s="948">
        <v>0</v>
      </c>
    </row>
    <row r="301" spans="1:17">
      <c r="A301" s="706">
        <v>10144</v>
      </c>
      <c r="B301" s="886" t="s">
        <v>740</v>
      </c>
      <c r="C301" s="887">
        <v>325</v>
      </c>
      <c r="D301" s="887">
        <v>25</v>
      </c>
      <c r="E301" s="887">
        <v>100</v>
      </c>
      <c r="F301" s="887">
        <v>400</v>
      </c>
      <c r="G301" s="887">
        <v>400</v>
      </c>
      <c r="H301" s="888">
        <v>2</v>
      </c>
      <c r="J301" s="259">
        <f t="shared" si="58"/>
        <v>325</v>
      </c>
      <c r="K301" s="259">
        <f t="shared" si="56"/>
        <v>-1</v>
      </c>
      <c r="L301" s="259">
        <f t="shared" si="57"/>
        <v>425</v>
      </c>
      <c r="M301" s="259" t="s">
        <v>32</v>
      </c>
      <c r="N301" s="260" t="s">
        <v>32</v>
      </c>
      <c r="P301" s="948">
        <v>0</v>
      </c>
      <c r="Q301" s="948">
        <v>0</v>
      </c>
    </row>
    <row r="302" spans="1:17">
      <c r="A302" s="706">
        <v>10145</v>
      </c>
      <c r="B302" s="886" t="s">
        <v>3516</v>
      </c>
      <c r="C302" s="887">
        <v>1</v>
      </c>
      <c r="D302" s="887">
        <v>1</v>
      </c>
      <c r="E302" s="887">
        <v>6</v>
      </c>
      <c r="F302" s="887">
        <v>7</v>
      </c>
      <c r="G302" s="887">
        <v>7</v>
      </c>
      <c r="H302" s="888">
        <v>3</v>
      </c>
      <c r="J302" s="254">
        <f t="shared" si="58"/>
        <v>1</v>
      </c>
      <c r="K302" s="255">
        <f t="shared" ref="K302:K309" si="59">C302/(E302-G302)</f>
        <v>-1</v>
      </c>
      <c r="L302" s="256">
        <f t="shared" ref="L302:L309" si="60">C302-K302*E302</f>
        <v>7</v>
      </c>
      <c r="M302" s="255" t="s">
        <v>32</v>
      </c>
      <c r="N302" s="256" t="s">
        <v>32</v>
      </c>
      <c r="P302" s="948">
        <v>0</v>
      </c>
      <c r="Q302" s="948">
        <v>0</v>
      </c>
    </row>
    <row r="303" spans="1:17">
      <c r="A303" s="706">
        <v>10146</v>
      </c>
      <c r="B303" s="886" t="s">
        <v>2391</v>
      </c>
      <c r="C303" s="887">
        <v>1</v>
      </c>
      <c r="D303" s="887">
        <v>1</v>
      </c>
      <c r="E303" s="887">
        <v>6</v>
      </c>
      <c r="F303" s="887">
        <v>7</v>
      </c>
      <c r="G303" s="887">
        <v>7</v>
      </c>
      <c r="H303" s="888">
        <v>3</v>
      </c>
      <c r="J303" s="254">
        <f t="shared" si="58"/>
        <v>1</v>
      </c>
      <c r="K303" s="255">
        <f t="shared" si="59"/>
        <v>-1</v>
      </c>
      <c r="L303" s="256">
        <f t="shared" si="60"/>
        <v>7</v>
      </c>
      <c r="M303" s="255" t="s">
        <v>32</v>
      </c>
      <c r="N303" s="256" t="s">
        <v>32</v>
      </c>
      <c r="P303" s="948">
        <v>0</v>
      </c>
      <c r="Q303" s="948">
        <v>0</v>
      </c>
    </row>
    <row r="304" spans="1:17">
      <c r="A304" s="706">
        <v>10147</v>
      </c>
      <c r="B304" s="886" t="s">
        <v>172</v>
      </c>
      <c r="C304" s="887">
        <v>1</v>
      </c>
      <c r="D304" s="887">
        <v>1</v>
      </c>
      <c r="E304" s="887">
        <v>6</v>
      </c>
      <c r="F304" s="887">
        <v>7</v>
      </c>
      <c r="G304" s="887">
        <v>7</v>
      </c>
      <c r="H304" s="888">
        <v>3</v>
      </c>
      <c r="J304" s="254">
        <f t="shared" si="58"/>
        <v>1</v>
      </c>
      <c r="K304" s="255">
        <f t="shared" si="59"/>
        <v>-1</v>
      </c>
      <c r="L304" s="256">
        <f t="shared" si="60"/>
        <v>7</v>
      </c>
      <c r="M304" s="255" t="s">
        <v>32</v>
      </c>
      <c r="N304" s="256" t="s">
        <v>32</v>
      </c>
      <c r="P304" s="948">
        <v>0</v>
      </c>
      <c r="Q304" s="948">
        <v>0</v>
      </c>
    </row>
    <row r="305" spans="1:17">
      <c r="A305" s="706">
        <v>10148</v>
      </c>
      <c r="B305" s="886" t="s">
        <v>2825</v>
      </c>
      <c r="C305" s="887">
        <v>1</v>
      </c>
      <c r="D305" s="887">
        <v>1</v>
      </c>
      <c r="E305" s="887">
        <v>6</v>
      </c>
      <c r="F305" s="887">
        <v>7</v>
      </c>
      <c r="G305" s="887">
        <v>7</v>
      </c>
      <c r="H305" s="888">
        <v>3</v>
      </c>
      <c r="J305" s="254">
        <f t="shared" si="58"/>
        <v>1</v>
      </c>
      <c r="K305" s="255">
        <f t="shared" si="59"/>
        <v>-1</v>
      </c>
      <c r="L305" s="256">
        <f t="shared" si="60"/>
        <v>7</v>
      </c>
      <c r="M305" s="255" t="s">
        <v>32</v>
      </c>
      <c r="N305" s="256" t="s">
        <v>32</v>
      </c>
      <c r="P305" s="948">
        <v>0</v>
      </c>
      <c r="Q305" s="948">
        <v>0</v>
      </c>
    </row>
    <row r="306" spans="1:17">
      <c r="A306" s="706">
        <v>10149</v>
      </c>
      <c r="B306" s="886" t="s">
        <v>3640</v>
      </c>
      <c r="C306" s="887">
        <v>1</v>
      </c>
      <c r="D306" s="887">
        <v>1</v>
      </c>
      <c r="E306" s="887">
        <v>6</v>
      </c>
      <c r="F306" s="887">
        <v>7</v>
      </c>
      <c r="G306" s="887">
        <v>7</v>
      </c>
      <c r="H306" s="888">
        <v>3</v>
      </c>
      <c r="J306" s="254">
        <f t="shared" si="58"/>
        <v>1</v>
      </c>
      <c r="K306" s="255">
        <f t="shared" si="59"/>
        <v>-1</v>
      </c>
      <c r="L306" s="256">
        <f t="shared" si="60"/>
        <v>7</v>
      </c>
      <c r="M306" s="255" t="s">
        <v>32</v>
      </c>
      <c r="N306" s="256" t="s">
        <v>32</v>
      </c>
      <c r="P306" s="948">
        <v>0</v>
      </c>
      <c r="Q306" s="948">
        <v>0</v>
      </c>
    </row>
    <row r="307" spans="1:17">
      <c r="A307" s="706">
        <v>10150</v>
      </c>
      <c r="B307" s="886" t="s">
        <v>2467</v>
      </c>
      <c r="C307" s="887">
        <v>1</v>
      </c>
      <c r="D307" s="887">
        <v>1</v>
      </c>
      <c r="E307" s="887">
        <v>3</v>
      </c>
      <c r="F307" s="887">
        <v>4</v>
      </c>
      <c r="G307" s="887">
        <v>4</v>
      </c>
      <c r="H307" s="888">
        <v>3</v>
      </c>
      <c r="J307" s="254">
        <f t="shared" si="58"/>
        <v>1</v>
      </c>
      <c r="K307" s="255">
        <f t="shared" si="59"/>
        <v>-1</v>
      </c>
      <c r="L307" s="256">
        <f t="shared" si="60"/>
        <v>4</v>
      </c>
      <c r="M307" s="255" t="s">
        <v>32</v>
      </c>
      <c r="N307" s="256" t="s">
        <v>32</v>
      </c>
      <c r="P307" s="948">
        <v>0</v>
      </c>
      <c r="Q307" s="948">
        <v>0</v>
      </c>
    </row>
    <row r="308" spans="1:17">
      <c r="A308" s="706">
        <v>10151</v>
      </c>
      <c r="B308" s="886" t="s">
        <v>1501</v>
      </c>
      <c r="C308" s="887">
        <v>1</v>
      </c>
      <c r="D308" s="887">
        <v>1</v>
      </c>
      <c r="E308" s="887">
        <v>3</v>
      </c>
      <c r="F308" s="887">
        <v>4</v>
      </c>
      <c r="G308" s="887">
        <v>4</v>
      </c>
      <c r="H308" s="888">
        <v>3</v>
      </c>
      <c r="J308" s="254">
        <f t="shared" si="58"/>
        <v>1</v>
      </c>
      <c r="K308" s="255">
        <f t="shared" si="59"/>
        <v>-1</v>
      </c>
      <c r="L308" s="256">
        <f t="shared" si="60"/>
        <v>4</v>
      </c>
      <c r="M308" s="255" t="s">
        <v>32</v>
      </c>
      <c r="N308" s="256" t="s">
        <v>32</v>
      </c>
      <c r="P308" s="948">
        <v>0</v>
      </c>
      <c r="Q308" s="948">
        <v>0</v>
      </c>
    </row>
    <row r="309" spans="1:17">
      <c r="A309" s="706">
        <v>10152</v>
      </c>
      <c r="B309" s="886" t="s">
        <v>2117</v>
      </c>
      <c r="C309" s="887">
        <v>1</v>
      </c>
      <c r="D309" s="887">
        <v>1</v>
      </c>
      <c r="E309" s="887">
        <v>3</v>
      </c>
      <c r="F309" s="887">
        <v>4</v>
      </c>
      <c r="G309" s="887">
        <v>4</v>
      </c>
      <c r="H309" s="888">
        <v>3</v>
      </c>
      <c r="J309" s="254">
        <f t="shared" si="58"/>
        <v>1</v>
      </c>
      <c r="K309" s="255">
        <f t="shared" si="59"/>
        <v>-1</v>
      </c>
      <c r="L309" s="256">
        <f t="shared" si="60"/>
        <v>4</v>
      </c>
      <c r="M309" s="255" t="s">
        <v>32</v>
      </c>
      <c r="N309" s="256" t="s">
        <v>32</v>
      </c>
      <c r="P309" s="948">
        <v>0</v>
      </c>
      <c r="Q309" s="948">
        <v>0</v>
      </c>
    </row>
    <row r="310" spans="1:17">
      <c r="A310" s="706">
        <v>10153</v>
      </c>
      <c r="B310" s="886" t="s">
        <v>336</v>
      </c>
      <c r="C310" s="887">
        <v>10</v>
      </c>
      <c r="D310" s="887">
        <v>7</v>
      </c>
      <c r="E310" s="887">
        <v>0</v>
      </c>
      <c r="F310" s="887">
        <v>3</v>
      </c>
      <c r="G310" s="887">
        <v>3</v>
      </c>
      <c r="H310" s="888">
        <v>2</v>
      </c>
      <c r="J310" s="259">
        <f t="shared" si="58"/>
        <v>10</v>
      </c>
      <c r="K310" s="259">
        <f>(D310-C310)/(F310-E310)</f>
        <v>-1</v>
      </c>
      <c r="L310" s="259">
        <f>-(K310*E310-C310)</f>
        <v>10</v>
      </c>
      <c r="M310" s="259" t="s">
        <v>32</v>
      </c>
      <c r="N310" s="260" t="s">
        <v>32</v>
      </c>
      <c r="P310" s="948">
        <v>0</v>
      </c>
      <c r="Q310" s="948">
        <v>0</v>
      </c>
    </row>
    <row r="311" spans="1:17">
      <c r="A311" s="706">
        <v>10154</v>
      </c>
      <c r="B311" s="886" t="s">
        <v>1624</v>
      </c>
      <c r="C311" s="887">
        <v>10</v>
      </c>
      <c r="D311" s="887">
        <v>7</v>
      </c>
      <c r="E311" s="887">
        <v>0</v>
      </c>
      <c r="F311" s="887">
        <v>3</v>
      </c>
      <c r="G311" s="887">
        <v>3</v>
      </c>
      <c r="H311" s="888">
        <v>2</v>
      </c>
      <c r="J311" s="259">
        <f t="shared" si="58"/>
        <v>10</v>
      </c>
      <c r="K311" s="259">
        <f>(D311-C311)/(F311-E311)</f>
        <v>-1</v>
      </c>
      <c r="L311" s="259">
        <f>-(K311*E311-C311)</f>
        <v>10</v>
      </c>
      <c r="M311" s="259" t="s">
        <v>32</v>
      </c>
      <c r="N311" s="260" t="s">
        <v>32</v>
      </c>
      <c r="P311" s="948">
        <v>0</v>
      </c>
      <c r="Q311" s="948">
        <v>0</v>
      </c>
    </row>
    <row r="312" spans="1:17">
      <c r="A312" s="706">
        <v>10155</v>
      </c>
      <c r="B312" s="949" t="s">
        <v>931</v>
      </c>
      <c r="C312" s="887">
        <v>20</v>
      </c>
      <c r="D312" s="887">
        <v>2</v>
      </c>
      <c r="E312" s="887">
        <v>12</v>
      </c>
      <c r="F312" s="887">
        <v>35</v>
      </c>
      <c r="G312" s="887">
        <v>35</v>
      </c>
      <c r="H312" s="888">
        <v>2</v>
      </c>
      <c r="J312" s="259">
        <f t="shared" si="58"/>
        <v>20</v>
      </c>
      <c r="K312" s="259">
        <f>(D312-C312)/(F312-E312)</f>
        <v>-0.78260869565217395</v>
      </c>
      <c r="L312" s="259">
        <f>-(K312*E312-C312)</f>
        <v>29.391304347826086</v>
      </c>
      <c r="M312" s="259" t="s">
        <v>32</v>
      </c>
      <c r="N312" s="260" t="s">
        <v>32</v>
      </c>
      <c r="P312" s="948">
        <v>0</v>
      </c>
      <c r="Q312" s="948">
        <v>0</v>
      </c>
    </row>
    <row r="313" spans="1:17">
      <c r="A313" s="706">
        <v>10156</v>
      </c>
      <c r="B313" s="886" t="s">
        <v>3731</v>
      </c>
      <c r="C313" s="887">
        <v>201</v>
      </c>
      <c r="D313" s="887">
        <v>50</v>
      </c>
      <c r="E313" s="887">
        <v>105</v>
      </c>
      <c r="F313" s="887">
        <v>210</v>
      </c>
      <c r="G313" s="887">
        <v>228</v>
      </c>
      <c r="H313" s="888">
        <v>1</v>
      </c>
      <c r="J313" s="245">
        <f t="shared" si="58"/>
        <v>201</v>
      </c>
      <c r="K313" s="257">
        <f>(D313-C313)/(F313-E313)</f>
        <v>-1.4380952380952381</v>
      </c>
      <c r="L313" s="258">
        <f>-(K313*E313-C313)</f>
        <v>352</v>
      </c>
      <c r="M313" s="257">
        <f>D313/(F313-G313)</f>
        <v>-2.7777777777777777</v>
      </c>
      <c r="N313" s="258">
        <f>-(M313*F313-D313)</f>
        <v>633.33333333333326</v>
      </c>
      <c r="P313" s="948">
        <v>0</v>
      </c>
      <c r="Q313" s="948">
        <v>0</v>
      </c>
    </row>
    <row r="314" spans="1:17">
      <c r="A314" s="706">
        <v>10157</v>
      </c>
      <c r="B314" s="886" t="s">
        <v>3732</v>
      </c>
      <c r="C314" s="887">
        <v>201</v>
      </c>
      <c r="D314" s="887">
        <v>50</v>
      </c>
      <c r="E314" s="887">
        <v>105</v>
      </c>
      <c r="F314" s="887">
        <v>210</v>
      </c>
      <c r="G314" s="887">
        <v>228</v>
      </c>
      <c r="H314" s="888">
        <v>1</v>
      </c>
      <c r="J314" s="245">
        <f t="shared" si="58"/>
        <v>201</v>
      </c>
      <c r="K314" s="257">
        <f>(D314-C314)/(F314-E314)</f>
        <v>-1.4380952380952381</v>
      </c>
      <c r="L314" s="258">
        <f>-(K314*E314-C314)</f>
        <v>352</v>
      </c>
      <c r="M314" s="257">
        <f>D314/(F314-G314)</f>
        <v>-2.7777777777777777</v>
      </c>
      <c r="N314" s="258">
        <f>-(M314*F314-D314)</f>
        <v>633.33333333333326</v>
      </c>
      <c r="P314" s="948">
        <v>0</v>
      </c>
      <c r="Q314" s="948">
        <v>0</v>
      </c>
    </row>
    <row r="315" spans="1:17">
      <c r="A315" s="706">
        <v>10158</v>
      </c>
      <c r="B315" s="886" t="s">
        <v>1877</v>
      </c>
      <c r="C315" s="887">
        <v>207</v>
      </c>
      <c r="D315" s="887">
        <v>207</v>
      </c>
      <c r="E315" s="887">
        <v>105</v>
      </c>
      <c r="F315" s="887">
        <v>210</v>
      </c>
      <c r="G315" s="887">
        <v>210</v>
      </c>
      <c r="H315" s="888">
        <v>3</v>
      </c>
      <c r="J315" s="254">
        <f t="shared" si="58"/>
        <v>207</v>
      </c>
      <c r="K315" s="255">
        <f>C315/(E315-G315)</f>
        <v>-1.9714285714285715</v>
      </c>
      <c r="L315" s="256">
        <f>C315-K315*E315</f>
        <v>414</v>
      </c>
      <c r="M315" s="818" t="s">
        <v>32</v>
      </c>
      <c r="N315" s="256" t="s">
        <v>32</v>
      </c>
      <c r="P315" s="948">
        <v>0</v>
      </c>
      <c r="Q315" s="948">
        <v>0</v>
      </c>
    </row>
    <row r="316" spans="1:17">
      <c r="A316" s="706">
        <v>10159</v>
      </c>
      <c r="B316" s="886" t="s">
        <v>2273</v>
      </c>
      <c r="C316" s="887">
        <v>165</v>
      </c>
      <c r="D316" s="887">
        <v>50</v>
      </c>
      <c r="E316" s="887">
        <v>80</v>
      </c>
      <c r="F316" s="887">
        <v>165</v>
      </c>
      <c r="G316" s="887">
        <v>181</v>
      </c>
      <c r="H316" s="888">
        <v>1</v>
      </c>
      <c r="J316" s="245">
        <f t="shared" si="58"/>
        <v>165</v>
      </c>
      <c r="K316" s="257">
        <f>(D316-C316)/(F316-E316)</f>
        <v>-1.3529411764705883</v>
      </c>
      <c r="L316" s="258">
        <f>-(K316*E316-C316)</f>
        <v>273.23529411764707</v>
      </c>
      <c r="M316" s="257">
        <f>D316/(F316-G316)</f>
        <v>-3.125</v>
      </c>
      <c r="N316" s="258">
        <f>-(M316*F316-D316)</f>
        <v>565.625</v>
      </c>
      <c r="P316" s="948">
        <v>0</v>
      </c>
      <c r="Q316" s="948">
        <v>0</v>
      </c>
    </row>
    <row r="317" spans="1:17">
      <c r="A317" s="706">
        <v>10160</v>
      </c>
      <c r="B317" s="886" t="s">
        <v>2274</v>
      </c>
      <c r="C317" s="887">
        <v>165</v>
      </c>
      <c r="D317" s="887">
        <v>50</v>
      </c>
      <c r="E317" s="887">
        <v>80</v>
      </c>
      <c r="F317" s="887">
        <v>165</v>
      </c>
      <c r="G317" s="887">
        <v>181</v>
      </c>
      <c r="H317" s="888">
        <v>1</v>
      </c>
      <c r="J317" s="245">
        <f t="shared" ref="J317:J370" si="61">C317</f>
        <v>165</v>
      </c>
      <c r="K317" s="257">
        <f>(D317-C317)/(F317-E317)</f>
        <v>-1.3529411764705883</v>
      </c>
      <c r="L317" s="258">
        <f>-(K317*E317-C317)</f>
        <v>273.23529411764707</v>
      </c>
      <c r="M317" s="257">
        <f>D317/(F317-G317)</f>
        <v>-3.125</v>
      </c>
      <c r="N317" s="258">
        <f>-(M317*F317-D317)</f>
        <v>565.625</v>
      </c>
      <c r="P317" s="948">
        <v>0</v>
      </c>
      <c r="Q317" s="948">
        <v>0</v>
      </c>
    </row>
    <row r="318" spans="1:17">
      <c r="A318" s="706">
        <v>10161</v>
      </c>
      <c r="B318" s="886" t="s">
        <v>1211</v>
      </c>
      <c r="C318" s="887">
        <v>165</v>
      </c>
      <c r="D318" s="887">
        <v>50</v>
      </c>
      <c r="E318" s="887">
        <v>80</v>
      </c>
      <c r="F318" s="887">
        <v>165</v>
      </c>
      <c r="G318" s="887">
        <v>181</v>
      </c>
      <c r="H318" s="888">
        <v>1</v>
      </c>
      <c r="J318" s="245">
        <f t="shared" si="61"/>
        <v>165</v>
      </c>
      <c r="K318" s="257">
        <f>(D318-C318)/(F318-E318)</f>
        <v>-1.3529411764705883</v>
      </c>
      <c r="L318" s="258">
        <f>-(K318*E318-C318)</f>
        <v>273.23529411764707</v>
      </c>
      <c r="M318" s="257">
        <f>D318/(F318-G318)</f>
        <v>-3.125</v>
      </c>
      <c r="N318" s="258">
        <f>-(M318*F318-D318)</f>
        <v>565.625</v>
      </c>
      <c r="P318" s="948">
        <v>0</v>
      </c>
      <c r="Q318" s="948">
        <v>0</v>
      </c>
    </row>
    <row r="319" spans="1:17">
      <c r="A319" s="706">
        <v>10162</v>
      </c>
      <c r="B319" s="886" t="s">
        <v>1212</v>
      </c>
      <c r="C319" s="887">
        <v>165</v>
      </c>
      <c r="D319" s="887">
        <v>50</v>
      </c>
      <c r="E319" s="887">
        <v>80</v>
      </c>
      <c r="F319" s="887">
        <v>165</v>
      </c>
      <c r="G319" s="887">
        <v>181</v>
      </c>
      <c r="H319" s="888">
        <v>1</v>
      </c>
      <c r="J319" s="245">
        <f t="shared" si="61"/>
        <v>165</v>
      </c>
      <c r="K319" s="257">
        <f>(D319-C319)/(F319-E319)</f>
        <v>-1.3529411764705883</v>
      </c>
      <c r="L319" s="258">
        <f>-(K319*E319-C319)</f>
        <v>273.23529411764707</v>
      </c>
      <c r="M319" s="257">
        <f>D319/(F319-G319)</f>
        <v>-3.125</v>
      </c>
      <c r="N319" s="258">
        <f>-(M319*F319-D319)</f>
        <v>565.625</v>
      </c>
      <c r="P319" s="948">
        <v>0</v>
      </c>
      <c r="Q319" s="948">
        <v>0</v>
      </c>
    </row>
    <row r="320" spans="1:17">
      <c r="A320" s="706">
        <v>10163</v>
      </c>
      <c r="B320" s="886" t="s">
        <v>1970</v>
      </c>
      <c r="C320" s="887">
        <v>165</v>
      </c>
      <c r="D320" s="887">
        <v>165</v>
      </c>
      <c r="E320" s="887">
        <v>80</v>
      </c>
      <c r="F320" s="887">
        <v>165</v>
      </c>
      <c r="G320" s="887">
        <v>165</v>
      </c>
      <c r="H320" s="888">
        <v>3</v>
      </c>
      <c r="J320" s="254">
        <f t="shared" si="61"/>
        <v>165</v>
      </c>
      <c r="K320" s="255">
        <f>C320/(E320-G320)</f>
        <v>-1.9411764705882353</v>
      </c>
      <c r="L320" s="256">
        <f>C320-K320*E320</f>
        <v>320.29411764705878</v>
      </c>
      <c r="M320" s="255" t="s">
        <v>32</v>
      </c>
      <c r="N320" s="256" t="s">
        <v>32</v>
      </c>
      <c r="P320" s="948">
        <v>0</v>
      </c>
      <c r="Q320" s="948">
        <v>0</v>
      </c>
    </row>
    <row r="321" spans="1:17">
      <c r="A321" s="706">
        <v>10164</v>
      </c>
      <c r="B321" s="886" t="s">
        <v>569</v>
      </c>
      <c r="C321" s="887">
        <v>230</v>
      </c>
      <c r="D321" s="887">
        <v>50</v>
      </c>
      <c r="E321" s="887">
        <v>180</v>
      </c>
      <c r="F321" s="887">
        <v>360</v>
      </c>
      <c r="G321" s="887">
        <v>375</v>
      </c>
      <c r="H321" s="888">
        <v>1</v>
      </c>
      <c r="J321" s="245">
        <f t="shared" si="61"/>
        <v>230</v>
      </c>
      <c r="K321" s="257">
        <f t="shared" ref="K321:K344" si="62">(D321-C321)/(F321-E321)</f>
        <v>-1</v>
      </c>
      <c r="L321" s="258">
        <f t="shared" ref="L321:L344" si="63">-(K321*E321-C321)</f>
        <v>410</v>
      </c>
      <c r="M321" s="257">
        <f>D321/(F321-G321)</f>
        <v>-3.3333333333333335</v>
      </c>
      <c r="N321" s="258">
        <f>-(M321*F321-D321)</f>
        <v>1250</v>
      </c>
      <c r="P321" s="948">
        <v>0</v>
      </c>
      <c r="Q321" s="948">
        <v>0</v>
      </c>
    </row>
    <row r="322" spans="1:17">
      <c r="A322" s="706">
        <v>10165</v>
      </c>
      <c r="B322" s="886" t="s">
        <v>570</v>
      </c>
      <c r="C322" s="887">
        <v>230</v>
      </c>
      <c r="D322" s="887">
        <v>50</v>
      </c>
      <c r="E322" s="887">
        <v>180</v>
      </c>
      <c r="F322" s="887">
        <v>360</v>
      </c>
      <c r="G322" s="887">
        <v>375</v>
      </c>
      <c r="H322" s="888">
        <v>1</v>
      </c>
      <c r="J322" s="245">
        <f t="shared" si="61"/>
        <v>230</v>
      </c>
      <c r="K322" s="257">
        <f t="shared" si="62"/>
        <v>-1</v>
      </c>
      <c r="L322" s="258">
        <f t="shared" si="63"/>
        <v>410</v>
      </c>
      <c r="M322" s="257">
        <f>D322/(F322-G322)</f>
        <v>-3.3333333333333335</v>
      </c>
      <c r="N322" s="258">
        <f>-(M322*F322-D322)</f>
        <v>1250</v>
      </c>
      <c r="P322" s="948">
        <v>0</v>
      </c>
      <c r="Q322" s="948">
        <v>0</v>
      </c>
    </row>
    <row r="323" spans="1:17">
      <c r="A323" s="706">
        <v>10166</v>
      </c>
      <c r="B323" s="886" t="s">
        <v>2685</v>
      </c>
      <c r="C323" s="887">
        <v>230</v>
      </c>
      <c r="D323" s="887">
        <v>50</v>
      </c>
      <c r="E323" s="887">
        <v>180</v>
      </c>
      <c r="F323" s="887">
        <v>360</v>
      </c>
      <c r="G323" s="887">
        <v>375</v>
      </c>
      <c r="H323" s="888">
        <v>1</v>
      </c>
      <c r="J323" s="245">
        <f t="shared" si="61"/>
        <v>230</v>
      </c>
      <c r="K323" s="257">
        <f t="shared" si="62"/>
        <v>-1</v>
      </c>
      <c r="L323" s="258">
        <f t="shared" si="63"/>
        <v>410</v>
      </c>
      <c r="M323" s="257">
        <f>D323/(F323-G323)</f>
        <v>-3.3333333333333335</v>
      </c>
      <c r="N323" s="258">
        <f>-(M323*F323-D323)</f>
        <v>1250</v>
      </c>
      <c r="P323" s="948">
        <v>0</v>
      </c>
      <c r="Q323" s="948">
        <v>0</v>
      </c>
    </row>
    <row r="324" spans="1:17">
      <c r="A324" s="706">
        <v>10167</v>
      </c>
      <c r="B324" s="886" t="s">
        <v>2686</v>
      </c>
      <c r="C324" s="887">
        <v>230</v>
      </c>
      <c r="D324" s="887">
        <v>50</v>
      </c>
      <c r="E324" s="887">
        <v>180</v>
      </c>
      <c r="F324" s="887">
        <v>360</v>
      </c>
      <c r="G324" s="887">
        <v>375</v>
      </c>
      <c r="H324" s="888">
        <v>1</v>
      </c>
      <c r="J324" s="245">
        <f t="shared" si="61"/>
        <v>230</v>
      </c>
      <c r="K324" s="257">
        <f t="shared" si="62"/>
        <v>-1</v>
      </c>
      <c r="L324" s="258">
        <f t="shared" si="63"/>
        <v>410</v>
      </c>
      <c r="M324" s="257">
        <f>D324/(F324-G324)</f>
        <v>-3.3333333333333335</v>
      </c>
      <c r="N324" s="258">
        <f>-(M324*F324-D324)</f>
        <v>1250</v>
      </c>
      <c r="P324" s="948">
        <v>0</v>
      </c>
      <c r="Q324" s="948">
        <v>0</v>
      </c>
    </row>
    <row r="325" spans="1:17">
      <c r="A325" s="706">
        <v>10168</v>
      </c>
      <c r="B325" s="886" t="s">
        <v>1481</v>
      </c>
      <c r="C325" s="887">
        <v>24</v>
      </c>
      <c r="D325" s="887">
        <v>12</v>
      </c>
      <c r="E325" s="887">
        <v>0</v>
      </c>
      <c r="F325" s="887">
        <v>12</v>
      </c>
      <c r="G325" s="887">
        <v>12</v>
      </c>
      <c r="H325" s="888">
        <v>2</v>
      </c>
      <c r="J325" s="259">
        <f t="shared" si="61"/>
        <v>24</v>
      </c>
      <c r="K325" s="259">
        <f t="shared" si="62"/>
        <v>-1</v>
      </c>
      <c r="L325" s="259">
        <f t="shared" si="63"/>
        <v>24</v>
      </c>
      <c r="M325" s="259" t="s">
        <v>32</v>
      </c>
      <c r="N325" s="260" t="s">
        <v>32</v>
      </c>
      <c r="P325" s="948">
        <v>0</v>
      </c>
      <c r="Q325" s="948">
        <v>0</v>
      </c>
    </row>
    <row r="326" spans="1:17">
      <c r="A326" s="706">
        <v>10169</v>
      </c>
      <c r="B326" s="886" t="s">
        <v>3730</v>
      </c>
      <c r="C326" s="887">
        <v>24</v>
      </c>
      <c r="D326" s="887">
        <v>12</v>
      </c>
      <c r="E326" s="887">
        <v>0</v>
      </c>
      <c r="F326" s="887">
        <v>12</v>
      </c>
      <c r="G326" s="887">
        <v>12</v>
      </c>
      <c r="H326" s="888">
        <v>2</v>
      </c>
      <c r="J326" s="259">
        <f t="shared" si="61"/>
        <v>24</v>
      </c>
      <c r="K326" s="259">
        <f t="shared" si="62"/>
        <v>-1</v>
      </c>
      <c r="L326" s="259">
        <f t="shared" si="63"/>
        <v>24</v>
      </c>
      <c r="M326" s="259" t="s">
        <v>32</v>
      </c>
      <c r="N326" s="260" t="s">
        <v>32</v>
      </c>
      <c r="P326" s="948">
        <v>0</v>
      </c>
      <c r="Q326" s="948">
        <v>0</v>
      </c>
    </row>
    <row r="327" spans="1:17">
      <c r="A327" s="706">
        <v>10170</v>
      </c>
      <c r="B327" s="886" t="s">
        <v>2765</v>
      </c>
      <c r="C327" s="887">
        <v>24</v>
      </c>
      <c r="D327" s="887">
        <v>12</v>
      </c>
      <c r="E327" s="887">
        <v>0</v>
      </c>
      <c r="F327" s="887">
        <v>3</v>
      </c>
      <c r="G327" s="887">
        <v>3</v>
      </c>
      <c r="H327" s="888">
        <v>2</v>
      </c>
      <c r="J327" s="259">
        <f t="shared" si="61"/>
        <v>24</v>
      </c>
      <c r="K327" s="259">
        <f t="shared" si="62"/>
        <v>-4</v>
      </c>
      <c r="L327" s="259">
        <f t="shared" si="63"/>
        <v>24</v>
      </c>
      <c r="M327" s="259" t="s">
        <v>32</v>
      </c>
      <c r="N327" s="260" t="s">
        <v>32</v>
      </c>
      <c r="P327" s="948">
        <v>0</v>
      </c>
      <c r="Q327" s="948">
        <v>0</v>
      </c>
    </row>
    <row r="328" spans="1:17">
      <c r="A328" s="706">
        <v>10171</v>
      </c>
      <c r="B328" s="886" t="s">
        <v>2263</v>
      </c>
      <c r="C328" s="887">
        <v>22</v>
      </c>
      <c r="D328" s="887">
        <v>12</v>
      </c>
      <c r="E328" s="887">
        <v>0</v>
      </c>
      <c r="F328" s="887">
        <v>3</v>
      </c>
      <c r="G328" s="887">
        <v>3</v>
      </c>
      <c r="H328" s="888">
        <v>2</v>
      </c>
      <c r="J328" s="259">
        <f t="shared" si="61"/>
        <v>22</v>
      </c>
      <c r="K328" s="259">
        <f t="shared" si="62"/>
        <v>-3.3333333333333335</v>
      </c>
      <c r="L328" s="259">
        <f t="shared" si="63"/>
        <v>22</v>
      </c>
      <c r="M328" s="259" t="s">
        <v>32</v>
      </c>
      <c r="N328" s="260" t="s">
        <v>32</v>
      </c>
      <c r="P328" s="948">
        <v>0</v>
      </c>
      <c r="Q328" s="948">
        <v>0</v>
      </c>
    </row>
    <row r="329" spans="1:17">
      <c r="A329" s="706">
        <v>10172</v>
      </c>
      <c r="B329" s="886" t="s">
        <v>982</v>
      </c>
      <c r="C329" s="887">
        <v>22</v>
      </c>
      <c r="D329" s="887">
        <v>12</v>
      </c>
      <c r="E329" s="887">
        <v>0</v>
      </c>
      <c r="F329" s="887">
        <v>6</v>
      </c>
      <c r="G329" s="887">
        <v>6</v>
      </c>
      <c r="H329" s="888">
        <v>2</v>
      </c>
      <c r="J329" s="259">
        <f t="shared" si="61"/>
        <v>22</v>
      </c>
      <c r="K329" s="259">
        <f t="shared" si="62"/>
        <v>-1.6666666666666667</v>
      </c>
      <c r="L329" s="259">
        <f t="shared" si="63"/>
        <v>22</v>
      </c>
      <c r="M329" s="259" t="s">
        <v>32</v>
      </c>
      <c r="N329" s="260" t="s">
        <v>32</v>
      </c>
      <c r="P329" s="948">
        <v>0</v>
      </c>
      <c r="Q329" s="948">
        <v>0</v>
      </c>
    </row>
    <row r="330" spans="1:17">
      <c r="A330" s="706">
        <v>10173</v>
      </c>
      <c r="B330" s="886" t="s">
        <v>958</v>
      </c>
      <c r="C330" s="887">
        <v>22</v>
      </c>
      <c r="D330" s="887">
        <v>12</v>
      </c>
      <c r="E330" s="887">
        <v>0</v>
      </c>
      <c r="F330" s="887">
        <v>6</v>
      </c>
      <c r="G330" s="887">
        <v>6</v>
      </c>
      <c r="H330" s="888">
        <v>2</v>
      </c>
      <c r="J330" s="259">
        <f t="shared" si="61"/>
        <v>22</v>
      </c>
      <c r="K330" s="259">
        <f t="shared" si="62"/>
        <v>-1.6666666666666667</v>
      </c>
      <c r="L330" s="259">
        <f t="shared" si="63"/>
        <v>22</v>
      </c>
      <c r="M330" s="259" t="s">
        <v>32</v>
      </c>
      <c r="N330" s="260" t="s">
        <v>32</v>
      </c>
      <c r="P330" s="948">
        <v>0</v>
      </c>
      <c r="Q330" s="948">
        <v>0</v>
      </c>
    </row>
    <row r="331" spans="1:17">
      <c r="A331" s="706">
        <v>10174</v>
      </c>
      <c r="B331" s="886" t="s">
        <v>108</v>
      </c>
      <c r="C331" s="887">
        <v>18</v>
      </c>
      <c r="D331" s="887">
        <v>12</v>
      </c>
      <c r="E331" s="887">
        <v>0</v>
      </c>
      <c r="F331" s="887">
        <v>3</v>
      </c>
      <c r="G331" s="887">
        <v>3</v>
      </c>
      <c r="H331" s="888">
        <v>2</v>
      </c>
      <c r="J331" s="259">
        <f t="shared" si="61"/>
        <v>18</v>
      </c>
      <c r="K331" s="259">
        <f t="shared" si="62"/>
        <v>-2</v>
      </c>
      <c r="L331" s="259">
        <f t="shared" si="63"/>
        <v>18</v>
      </c>
      <c r="M331" s="259" t="s">
        <v>32</v>
      </c>
      <c r="N331" s="260" t="s">
        <v>32</v>
      </c>
      <c r="P331" s="948">
        <v>0</v>
      </c>
      <c r="Q331" s="948">
        <v>0</v>
      </c>
    </row>
    <row r="332" spans="1:17">
      <c r="A332" s="706">
        <v>10175</v>
      </c>
      <c r="B332" s="886" t="s">
        <v>280</v>
      </c>
      <c r="C332" s="887">
        <v>22</v>
      </c>
      <c r="D332" s="887">
        <v>12</v>
      </c>
      <c r="E332" s="887">
        <v>0</v>
      </c>
      <c r="F332" s="887">
        <v>3</v>
      </c>
      <c r="G332" s="887">
        <v>3</v>
      </c>
      <c r="H332" s="888">
        <v>2</v>
      </c>
      <c r="J332" s="259">
        <f t="shared" si="61"/>
        <v>22</v>
      </c>
      <c r="K332" s="259">
        <f t="shared" si="62"/>
        <v>-3.3333333333333335</v>
      </c>
      <c r="L332" s="259">
        <f t="shared" si="63"/>
        <v>22</v>
      </c>
      <c r="M332" s="259" t="s">
        <v>32</v>
      </c>
      <c r="N332" s="260" t="s">
        <v>32</v>
      </c>
      <c r="P332" s="948">
        <v>0</v>
      </c>
      <c r="Q332" s="948">
        <v>0</v>
      </c>
    </row>
    <row r="333" spans="1:17">
      <c r="A333" s="706">
        <v>10176</v>
      </c>
      <c r="B333" s="886" t="s">
        <v>811</v>
      </c>
      <c r="C333" s="887">
        <v>19</v>
      </c>
      <c r="D333" s="887">
        <v>12</v>
      </c>
      <c r="E333" s="887">
        <v>0</v>
      </c>
      <c r="F333" s="887">
        <v>7</v>
      </c>
      <c r="G333" s="887">
        <v>7</v>
      </c>
      <c r="H333" s="888">
        <v>2</v>
      </c>
      <c r="J333" s="259">
        <f t="shared" si="61"/>
        <v>19</v>
      </c>
      <c r="K333" s="259">
        <f t="shared" si="62"/>
        <v>-1</v>
      </c>
      <c r="L333" s="259">
        <f t="shared" si="63"/>
        <v>19</v>
      </c>
      <c r="M333" s="259" t="s">
        <v>32</v>
      </c>
      <c r="N333" s="260" t="s">
        <v>32</v>
      </c>
      <c r="P333" s="948">
        <v>0</v>
      </c>
      <c r="Q333" s="948">
        <v>0</v>
      </c>
    </row>
    <row r="334" spans="1:17">
      <c r="A334" s="706">
        <v>10177</v>
      </c>
      <c r="B334" s="886" t="s">
        <v>2803</v>
      </c>
      <c r="C334" s="887">
        <v>19</v>
      </c>
      <c r="D334" s="887">
        <v>12</v>
      </c>
      <c r="E334" s="887">
        <v>0</v>
      </c>
      <c r="F334" s="887">
        <v>7</v>
      </c>
      <c r="G334" s="887">
        <v>7</v>
      </c>
      <c r="H334" s="888">
        <v>2</v>
      </c>
      <c r="J334" s="259">
        <f t="shared" si="61"/>
        <v>19</v>
      </c>
      <c r="K334" s="259">
        <f t="shared" si="62"/>
        <v>-1</v>
      </c>
      <c r="L334" s="259">
        <f t="shared" si="63"/>
        <v>19</v>
      </c>
      <c r="M334" s="259" t="s">
        <v>32</v>
      </c>
      <c r="N334" s="260" t="s">
        <v>32</v>
      </c>
      <c r="P334" s="948">
        <v>0</v>
      </c>
      <c r="Q334" s="948">
        <v>0</v>
      </c>
    </row>
    <row r="335" spans="1:17">
      <c r="A335" s="706">
        <v>10178</v>
      </c>
      <c r="B335" s="886" t="s">
        <v>3570</v>
      </c>
      <c r="C335" s="887">
        <v>19</v>
      </c>
      <c r="D335" s="887">
        <v>12</v>
      </c>
      <c r="E335" s="887">
        <v>0</v>
      </c>
      <c r="F335" s="887">
        <v>3</v>
      </c>
      <c r="G335" s="887">
        <v>3</v>
      </c>
      <c r="H335" s="888">
        <v>2</v>
      </c>
      <c r="J335" s="259">
        <f t="shared" si="61"/>
        <v>19</v>
      </c>
      <c r="K335" s="259">
        <f t="shared" si="62"/>
        <v>-2.3333333333333335</v>
      </c>
      <c r="L335" s="259">
        <f t="shared" si="63"/>
        <v>19</v>
      </c>
      <c r="M335" s="259" t="s">
        <v>32</v>
      </c>
      <c r="N335" s="260" t="s">
        <v>32</v>
      </c>
      <c r="P335" s="948">
        <v>0</v>
      </c>
      <c r="Q335" s="948">
        <v>0</v>
      </c>
    </row>
    <row r="336" spans="1:17">
      <c r="A336" s="706">
        <v>10179</v>
      </c>
      <c r="B336" s="886" t="s">
        <v>2911</v>
      </c>
      <c r="C336" s="887">
        <v>24</v>
      </c>
      <c r="D336" s="887">
        <v>12</v>
      </c>
      <c r="E336" s="887">
        <v>0</v>
      </c>
      <c r="F336" s="887">
        <v>12</v>
      </c>
      <c r="G336" s="887">
        <v>12</v>
      </c>
      <c r="H336" s="888">
        <v>2</v>
      </c>
      <c r="J336" s="259">
        <f t="shared" si="61"/>
        <v>24</v>
      </c>
      <c r="K336" s="259">
        <f t="shared" si="62"/>
        <v>-1</v>
      </c>
      <c r="L336" s="259">
        <f t="shared" si="63"/>
        <v>24</v>
      </c>
      <c r="M336" s="259" t="s">
        <v>32</v>
      </c>
      <c r="N336" s="260" t="s">
        <v>32</v>
      </c>
      <c r="P336" s="948">
        <v>0</v>
      </c>
      <c r="Q336" s="948">
        <v>0</v>
      </c>
    </row>
    <row r="337" spans="1:17">
      <c r="A337" s="706">
        <v>10180</v>
      </c>
      <c r="B337" s="886" t="s">
        <v>58</v>
      </c>
      <c r="C337" s="887">
        <v>24</v>
      </c>
      <c r="D337" s="887">
        <v>12</v>
      </c>
      <c r="E337" s="887">
        <v>0</v>
      </c>
      <c r="F337" s="887">
        <v>12</v>
      </c>
      <c r="G337" s="887">
        <v>12</v>
      </c>
      <c r="H337" s="888">
        <v>2</v>
      </c>
      <c r="J337" s="259">
        <f t="shared" si="61"/>
        <v>24</v>
      </c>
      <c r="K337" s="259">
        <f t="shared" si="62"/>
        <v>-1</v>
      </c>
      <c r="L337" s="259">
        <f t="shared" si="63"/>
        <v>24</v>
      </c>
      <c r="M337" s="259" t="s">
        <v>32</v>
      </c>
      <c r="N337" s="260" t="s">
        <v>32</v>
      </c>
      <c r="P337" s="948">
        <v>0</v>
      </c>
      <c r="Q337" s="948">
        <v>0</v>
      </c>
    </row>
    <row r="338" spans="1:17">
      <c r="A338" s="706">
        <v>10181</v>
      </c>
      <c r="B338" s="886" t="s">
        <v>2222</v>
      </c>
      <c r="C338" s="887">
        <v>24</v>
      </c>
      <c r="D338" s="887">
        <v>12</v>
      </c>
      <c r="E338" s="887">
        <v>0</v>
      </c>
      <c r="F338" s="887">
        <v>3</v>
      </c>
      <c r="G338" s="887">
        <v>3</v>
      </c>
      <c r="H338" s="888">
        <v>2</v>
      </c>
      <c r="J338" s="259">
        <f t="shared" si="61"/>
        <v>24</v>
      </c>
      <c r="K338" s="259">
        <f t="shared" si="62"/>
        <v>-4</v>
      </c>
      <c r="L338" s="259">
        <f t="shared" si="63"/>
        <v>24</v>
      </c>
      <c r="M338" s="259" t="s">
        <v>32</v>
      </c>
      <c r="N338" s="260" t="s">
        <v>32</v>
      </c>
      <c r="P338" s="948">
        <v>0</v>
      </c>
      <c r="Q338" s="948">
        <v>0</v>
      </c>
    </row>
    <row r="339" spans="1:17">
      <c r="A339" s="706">
        <v>10182</v>
      </c>
      <c r="B339" s="886" t="s">
        <v>408</v>
      </c>
      <c r="C339" s="887">
        <v>20</v>
      </c>
      <c r="D339" s="887">
        <v>12</v>
      </c>
      <c r="E339" s="887">
        <v>12</v>
      </c>
      <c r="F339" s="887">
        <v>3</v>
      </c>
      <c r="G339" s="887">
        <v>3</v>
      </c>
      <c r="H339" s="888">
        <v>2</v>
      </c>
      <c r="J339" s="259">
        <f t="shared" si="61"/>
        <v>20</v>
      </c>
      <c r="K339" s="259">
        <f t="shared" si="62"/>
        <v>0.88888888888888884</v>
      </c>
      <c r="L339" s="259">
        <f t="shared" si="63"/>
        <v>9.3333333333333339</v>
      </c>
      <c r="M339" s="259" t="s">
        <v>32</v>
      </c>
      <c r="N339" s="260" t="s">
        <v>32</v>
      </c>
      <c r="P339" s="948">
        <v>0</v>
      </c>
      <c r="Q339" s="948">
        <v>0</v>
      </c>
    </row>
    <row r="340" spans="1:17">
      <c r="A340" s="706">
        <v>10183</v>
      </c>
      <c r="B340" s="886" t="s">
        <v>2308</v>
      </c>
      <c r="C340" s="887">
        <v>22</v>
      </c>
      <c r="D340" s="887">
        <v>12</v>
      </c>
      <c r="E340" s="887">
        <v>0</v>
      </c>
      <c r="F340" s="887">
        <v>3</v>
      </c>
      <c r="G340" s="887">
        <v>3</v>
      </c>
      <c r="H340" s="888">
        <v>2</v>
      </c>
      <c r="J340" s="259">
        <f t="shared" si="61"/>
        <v>22</v>
      </c>
      <c r="K340" s="259">
        <f t="shared" si="62"/>
        <v>-3.3333333333333335</v>
      </c>
      <c r="L340" s="259">
        <f t="shared" si="63"/>
        <v>22</v>
      </c>
      <c r="M340" s="259" t="s">
        <v>32</v>
      </c>
      <c r="N340" s="260" t="s">
        <v>32</v>
      </c>
      <c r="P340" s="948">
        <v>0</v>
      </c>
      <c r="Q340" s="948">
        <v>0</v>
      </c>
    </row>
    <row r="341" spans="1:17">
      <c r="A341" s="706">
        <v>10184</v>
      </c>
      <c r="B341" s="886" t="s">
        <v>10</v>
      </c>
      <c r="C341" s="887">
        <v>20</v>
      </c>
      <c r="D341" s="887">
        <v>12</v>
      </c>
      <c r="E341" s="887">
        <v>12</v>
      </c>
      <c r="F341" s="887">
        <v>3</v>
      </c>
      <c r="G341" s="887">
        <v>3</v>
      </c>
      <c r="H341" s="888">
        <v>2</v>
      </c>
      <c r="J341" s="259">
        <f t="shared" si="61"/>
        <v>20</v>
      </c>
      <c r="K341" s="259">
        <f t="shared" si="62"/>
        <v>0.88888888888888884</v>
      </c>
      <c r="L341" s="259">
        <f t="shared" si="63"/>
        <v>9.3333333333333339</v>
      </c>
      <c r="M341" s="259" t="s">
        <v>32</v>
      </c>
      <c r="N341" s="260" t="s">
        <v>32</v>
      </c>
      <c r="P341" s="948">
        <v>0</v>
      </c>
      <c r="Q341" s="948">
        <v>0</v>
      </c>
    </row>
    <row r="342" spans="1:17">
      <c r="A342" s="706">
        <v>10185</v>
      </c>
      <c r="B342" s="886" t="s">
        <v>2916</v>
      </c>
      <c r="C342" s="887">
        <v>24</v>
      </c>
      <c r="D342" s="887">
        <v>12</v>
      </c>
      <c r="E342" s="887">
        <v>0</v>
      </c>
      <c r="F342" s="887">
        <v>12</v>
      </c>
      <c r="G342" s="887">
        <v>12</v>
      </c>
      <c r="H342" s="888">
        <v>2</v>
      </c>
      <c r="J342" s="259">
        <f t="shared" si="61"/>
        <v>24</v>
      </c>
      <c r="K342" s="259">
        <f t="shared" si="62"/>
        <v>-1</v>
      </c>
      <c r="L342" s="259">
        <f t="shared" si="63"/>
        <v>24</v>
      </c>
      <c r="M342" s="259" t="s">
        <v>32</v>
      </c>
      <c r="N342" s="260" t="s">
        <v>32</v>
      </c>
      <c r="P342" s="948">
        <v>0</v>
      </c>
      <c r="Q342" s="948">
        <v>0</v>
      </c>
    </row>
    <row r="343" spans="1:17">
      <c r="A343" s="706">
        <v>10186</v>
      </c>
      <c r="B343" s="886" t="s">
        <v>3227</v>
      </c>
      <c r="C343" s="887">
        <v>24</v>
      </c>
      <c r="D343" s="887">
        <v>12</v>
      </c>
      <c r="E343" s="887">
        <v>0</v>
      </c>
      <c r="F343" s="887">
        <v>12</v>
      </c>
      <c r="G343" s="887">
        <v>12</v>
      </c>
      <c r="H343" s="888">
        <v>2</v>
      </c>
      <c r="J343" s="259">
        <f t="shared" si="61"/>
        <v>24</v>
      </c>
      <c r="K343" s="259">
        <f t="shared" si="62"/>
        <v>-1</v>
      </c>
      <c r="L343" s="259">
        <f t="shared" si="63"/>
        <v>24</v>
      </c>
      <c r="M343" s="259" t="s">
        <v>32</v>
      </c>
      <c r="N343" s="260" t="s">
        <v>32</v>
      </c>
      <c r="P343" s="948">
        <v>0</v>
      </c>
      <c r="Q343" s="948">
        <v>0</v>
      </c>
    </row>
    <row r="344" spans="1:17">
      <c r="A344" s="706">
        <v>10187</v>
      </c>
      <c r="B344" s="886" t="s">
        <v>1494</v>
      </c>
      <c r="C344" s="887">
        <v>24</v>
      </c>
      <c r="D344" s="887">
        <v>12</v>
      </c>
      <c r="E344" s="887">
        <v>0</v>
      </c>
      <c r="F344" s="887">
        <v>3</v>
      </c>
      <c r="G344" s="887">
        <v>3</v>
      </c>
      <c r="H344" s="888">
        <v>2</v>
      </c>
      <c r="J344" s="259">
        <f t="shared" si="61"/>
        <v>24</v>
      </c>
      <c r="K344" s="259">
        <f t="shared" si="62"/>
        <v>-4</v>
      </c>
      <c r="L344" s="259">
        <f t="shared" si="63"/>
        <v>24</v>
      </c>
      <c r="M344" s="259" t="s">
        <v>32</v>
      </c>
      <c r="N344" s="260" t="s">
        <v>32</v>
      </c>
      <c r="P344" s="948">
        <v>0</v>
      </c>
      <c r="Q344" s="948">
        <v>0</v>
      </c>
    </row>
    <row r="345" spans="1:17">
      <c r="A345" s="706">
        <v>10188</v>
      </c>
      <c r="B345" s="886" t="s">
        <v>3393</v>
      </c>
      <c r="C345" s="887">
        <v>125</v>
      </c>
      <c r="D345" s="887">
        <v>40</v>
      </c>
      <c r="E345" s="887">
        <v>60</v>
      </c>
      <c r="F345" s="887">
        <v>125</v>
      </c>
      <c r="G345" s="887">
        <v>138</v>
      </c>
      <c r="H345" s="888">
        <v>1</v>
      </c>
      <c r="J345" s="245">
        <f t="shared" si="61"/>
        <v>125</v>
      </c>
      <c r="K345" s="257">
        <f t="shared" ref="K345:K355" si="64">(D345-C345)/(F345-E345)</f>
        <v>-1.3076923076923077</v>
      </c>
      <c r="L345" s="258">
        <f t="shared" ref="L345:L355" si="65">-(K345*E345-C345)</f>
        <v>203.46153846153845</v>
      </c>
      <c r="M345" s="257">
        <f t="shared" ref="M345:M351" si="66">D345/(F345-G345)</f>
        <v>-3.0769230769230771</v>
      </c>
      <c r="N345" s="258">
        <f t="shared" ref="N345:N351" si="67">-(M345*F345-D345)</f>
        <v>424.61538461538464</v>
      </c>
      <c r="P345" s="948">
        <v>0</v>
      </c>
      <c r="Q345" s="948">
        <v>0</v>
      </c>
    </row>
    <row r="346" spans="1:17">
      <c r="A346" s="706">
        <v>10189</v>
      </c>
      <c r="B346" s="886" t="s">
        <v>3394</v>
      </c>
      <c r="C346" s="887">
        <v>125</v>
      </c>
      <c r="D346" s="887">
        <v>40</v>
      </c>
      <c r="E346" s="887">
        <v>60</v>
      </c>
      <c r="F346" s="887">
        <v>125</v>
      </c>
      <c r="G346" s="887">
        <v>138</v>
      </c>
      <c r="H346" s="888">
        <v>1</v>
      </c>
      <c r="J346" s="245">
        <f t="shared" si="61"/>
        <v>125</v>
      </c>
      <c r="K346" s="257">
        <f t="shared" si="64"/>
        <v>-1.3076923076923077</v>
      </c>
      <c r="L346" s="258">
        <f t="shared" si="65"/>
        <v>203.46153846153845</v>
      </c>
      <c r="M346" s="257">
        <f t="shared" si="66"/>
        <v>-3.0769230769230771</v>
      </c>
      <c r="N346" s="258">
        <f t="shared" si="67"/>
        <v>424.61538461538464</v>
      </c>
      <c r="P346" s="948">
        <v>0</v>
      </c>
      <c r="Q346" s="948">
        <v>0</v>
      </c>
    </row>
    <row r="347" spans="1:17">
      <c r="A347" s="706">
        <v>10190</v>
      </c>
      <c r="B347" s="886" t="s">
        <v>3127</v>
      </c>
      <c r="C347" s="887">
        <v>155</v>
      </c>
      <c r="D347" s="887">
        <v>25</v>
      </c>
      <c r="E347" s="887">
        <v>130</v>
      </c>
      <c r="F347" s="887">
        <v>260</v>
      </c>
      <c r="G347" s="887">
        <v>264</v>
      </c>
      <c r="H347" s="888">
        <v>1</v>
      </c>
      <c r="J347" s="245">
        <f t="shared" si="61"/>
        <v>155</v>
      </c>
      <c r="K347" s="257">
        <f t="shared" si="64"/>
        <v>-1</v>
      </c>
      <c r="L347" s="258">
        <f t="shared" si="65"/>
        <v>285</v>
      </c>
      <c r="M347" s="257">
        <f t="shared" si="66"/>
        <v>-6.25</v>
      </c>
      <c r="N347" s="258">
        <f t="shared" si="67"/>
        <v>1650</v>
      </c>
      <c r="P347" s="948">
        <v>0</v>
      </c>
      <c r="Q347" s="948">
        <v>0</v>
      </c>
    </row>
    <row r="348" spans="1:17">
      <c r="A348" s="706">
        <v>10191</v>
      </c>
      <c r="B348" s="886" t="s">
        <v>404</v>
      </c>
      <c r="C348" s="887">
        <v>190</v>
      </c>
      <c r="D348" s="887">
        <v>50</v>
      </c>
      <c r="E348" s="887">
        <v>140</v>
      </c>
      <c r="F348" s="887">
        <v>280</v>
      </c>
      <c r="G348" s="887">
        <v>290</v>
      </c>
      <c r="H348" s="888">
        <v>1</v>
      </c>
      <c r="J348" s="245">
        <f t="shared" si="61"/>
        <v>190</v>
      </c>
      <c r="K348" s="257">
        <f t="shared" si="64"/>
        <v>-1</v>
      </c>
      <c r="L348" s="258">
        <f t="shared" si="65"/>
        <v>330</v>
      </c>
      <c r="M348" s="257">
        <f t="shared" si="66"/>
        <v>-5</v>
      </c>
      <c r="N348" s="258">
        <f t="shared" si="67"/>
        <v>1450</v>
      </c>
      <c r="P348" s="948">
        <v>0</v>
      </c>
      <c r="Q348" s="948">
        <v>0</v>
      </c>
    </row>
    <row r="349" spans="1:17">
      <c r="A349" s="706">
        <v>10192</v>
      </c>
      <c r="B349" s="886" t="s">
        <v>2208</v>
      </c>
      <c r="C349" s="887">
        <v>190</v>
      </c>
      <c r="D349" s="887">
        <v>50</v>
      </c>
      <c r="E349" s="887">
        <v>140</v>
      </c>
      <c r="F349" s="887">
        <v>280</v>
      </c>
      <c r="G349" s="887">
        <v>290</v>
      </c>
      <c r="H349" s="888">
        <v>1</v>
      </c>
      <c r="J349" s="245">
        <f t="shared" si="61"/>
        <v>190</v>
      </c>
      <c r="K349" s="257">
        <f t="shared" si="64"/>
        <v>-1</v>
      </c>
      <c r="L349" s="258">
        <f t="shared" si="65"/>
        <v>330</v>
      </c>
      <c r="M349" s="257">
        <f t="shared" si="66"/>
        <v>-5</v>
      </c>
      <c r="N349" s="258">
        <f t="shared" si="67"/>
        <v>1450</v>
      </c>
      <c r="P349" s="948">
        <v>0</v>
      </c>
      <c r="Q349" s="948">
        <v>0</v>
      </c>
    </row>
    <row r="350" spans="1:17">
      <c r="A350" s="706">
        <v>10193</v>
      </c>
      <c r="B350" s="886" t="s">
        <v>2150</v>
      </c>
      <c r="C350" s="887">
        <v>190</v>
      </c>
      <c r="D350" s="887">
        <v>50</v>
      </c>
      <c r="E350" s="887">
        <v>140</v>
      </c>
      <c r="F350" s="887">
        <v>280</v>
      </c>
      <c r="G350" s="887">
        <v>290</v>
      </c>
      <c r="H350" s="888">
        <v>1</v>
      </c>
      <c r="J350" s="245">
        <f t="shared" si="61"/>
        <v>190</v>
      </c>
      <c r="K350" s="257">
        <f t="shared" si="64"/>
        <v>-1</v>
      </c>
      <c r="L350" s="258">
        <f t="shared" si="65"/>
        <v>330</v>
      </c>
      <c r="M350" s="257">
        <f t="shared" si="66"/>
        <v>-5</v>
      </c>
      <c r="N350" s="258">
        <f t="shared" si="67"/>
        <v>1450</v>
      </c>
      <c r="P350" s="948">
        <v>0</v>
      </c>
      <c r="Q350" s="948">
        <v>0</v>
      </c>
    </row>
    <row r="351" spans="1:17">
      <c r="A351" s="706">
        <v>10194</v>
      </c>
      <c r="B351" s="886" t="s">
        <v>2151</v>
      </c>
      <c r="C351" s="887">
        <v>190</v>
      </c>
      <c r="D351" s="887">
        <v>50</v>
      </c>
      <c r="E351" s="887">
        <v>140</v>
      </c>
      <c r="F351" s="887">
        <v>280</v>
      </c>
      <c r="G351" s="887">
        <v>290</v>
      </c>
      <c r="H351" s="888">
        <v>1</v>
      </c>
      <c r="J351" s="245">
        <f t="shared" si="61"/>
        <v>190</v>
      </c>
      <c r="K351" s="257">
        <f t="shared" si="64"/>
        <v>-1</v>
      </c>
      <c r="L351" s="258">
        <f t="shared" si="65"/>
        <v>330</v>
      </c>
      <c r="M351" s="257">
        <f t="shared" si="66"/>
        <v>-5</v>
      </c>
      <c r="N351" s="258">
        <f t="shared" si="67"/>
        <v>1450</v>
      </c>
      <c r="P351" s="948">
        <v>0</v>
      </c>
      <c r="Q351" s="948">
        <v>0</v>
      </c>
    </row>
    <row r="352" spans="1:17">
      <c r="A352" s="706">
        <v>10195</v>
      </c>
      <c r="B352" s="886" t="s">
        <v>51</v>
      </c>
      <c r="C352" s="887">
        <v>22</v>
      </c>
      <c r="D352" s="887">
        <v>12</v>
      </c>
      <c r="E352" s="887">
        <v>0</v>
      </c>
      <c r="F352" s="887">
        <v>6</v>
      </c>
      <c r="G352" s="887">
        <v>6</v>
      </c>
      <c r="H352" s="888">
        <v>2</v>
      </c>
      <c r="J352" s="259">
        <f t="shared" si="61"/>
        <v>22</v>
      </c>
      <c r="K352" s="259">
        <f t="shared" si="64"/>
        <v>-1.6666666666666667</v>
      </c>
      <c r="L352" s="259">
        <f t="shared" si="65"/>
        <v>22</v>
      </c>
      <c r="M352" s="259" t="s">
        <v>32</v>
      </c>
      <c r="N352" s="260" t="s">
        <v>32</v>
      </c>
      <c r="P352" s="948">
        <v>0</v>
      </c>
      <c r="Q352" s="948">
        <v>0</v>
      </c>
    </row>
    <row r="353" spans="1:17">
      <c r="A353" s="706">
        <v>10196</v>
      </c>
      <c r="B353" s="886" t="s">
        <v>1685</v>
      </c>
      <c r="C353" s="887">
        <v>22</v>
      </c>
      <c r="D353" s="887">
        <v>12</v>
      </c>
      <c r="E353" s="887">
        <v>0</v>
      </c>
      <c r="F353" s="887">
        <v>6</v>
      </c>
      <c r="G353" s="887">
        <v>6</v>
      </c>
      <c r="H353" s="888">
        <v>2</v>
      </c>
      <c r="J353" s="259">
        <f t="shared" si="61"/>
        <v>22</v>
      </c>
      <c r="K353" s="259">
        <f t="shared" si="64"/>
        <v>-1.6666666666666667</v>
      </c>
      <c r="L353" s="259">
        <f t="shared" si="65"/>
        <v>22</v>
      </c>
      <c r="M353" s="259" t="s">
        <v>32</v>
      </c>
      <c r="N353" s="260" t="s">
        <v>32</v>
      </c>
      <c r="P353" s="948">
        <v>0</v>
      </c>
      <c r="Q353" s="948">
        <v>0</v>
      </c>
    </row>
    <row r="354" spans="1:17">
      <c r="A354" s="706">
        <v>10197</v>
      </c>
      <c r="B354" s="886" t="s">
        <v>3643</v>
      </c>
      <c r="C354" s="887">
        <v>18</v>
      </c>
      <c r="D354" s="887">
        <v>12</v>
      </c>
      <c r="E354" s="887">
        <v>0</v>
      </c>
      <c r="F354" s="887">
        <v>3</v>
      </c>
      <c r="G354" s="887">
        <v>3</v>
      </c>
      <c r="H354" s="888">
        <v>2</v>
      </c>
      <c r="J354" s="259">
        <f t="shared" si="61"/>
        <v>18</v>
      </c>
      <c r="K354" s="259">
        <f t="shared" si="64"/>
        <v>-2</v>
      </c>
      <c r="L354" s="259">
        <f t="shared" si="65"/>
        <v>18</v>
      </c>
      <c r="M354" s="259" t="s">
        <v>32</v>
      </c>
      <c r="N354" s="260" t="s">
        <v>32</v>
      </c>
      <c r="P354" s="948">
        <v>0</v>
      </c>
      <c r="Q354" s="948">
        <v>0</v>
      </c>
    </row>
    <row r="355" spans="1:17">
      <c r="A355" s="706">
        <v>10198</v>
      </c>
      <c r="B355" s="886" t="s">
        <v>2256</v>
      </c>
      <c r="C355" s="887">
        <v>22</v>
      </c>
      <c r="D355" s="887">
        <v>12</v>
      </c>
      <c r="E355" s="887">
        <v>0</v>
      </c>
      <c r="F355" s="887">
        <v>3</v>
      </c>
      <c r="G355" s="887">
        <v>3</v>
      </c>
      <c r="H355" s="888">
        <v>2</v>
      </c>
      <c r="J355" s="259">
        <f t="shared" si="61"/>
        <v>22</v>
      </c>
      <c r="K355" s="259">
        <f t="shared" si="64"/>
        <v>-3.3333333333333335</v>
      </c>
      <c r="L355" s="259">
        <f t="shared" si="65"/>
        <v>22</v>
      </c>
      <c r="M355" s="259" t="s">
        <v>32</v>
      </c>
      <c r="N355" s="260" t="s">
        <v>32</v>
      </c>
      <c r="P355" s="948">
        <v>0</v>
      </c>
      <c r="Q355" s="948">
        <v>0</v>
      </c>
    </row>
    <row r="356" spans="1:17">
      <c r="A356" s="706">
        <v>10199</v>
      </c>
      <c r="B356" s="886" t="s">
        <v>2753</v>
      </c>
      <c r="C356" s="887">
        <v>165</v>
      </c>
      <c r="D356" s="887">
        <v>50</v>
      </c>
      <c r="E356" s="887">
        <v>80</v>
      </c>
      <c r="F356" s="887">
        <v>165</v>
      </c>
      <c r="G356" s="887">
        <v>181.5</v>
      </c>
      <c r="H356" s="888">
        <v>1</v>
      </c>
      <c r="J356" s="815">
        <f t="shared" si="61"/>
        <v>165</v>
      </c>
      <c r="K356" s="816">
        <f>(D356-C356)/(F356-E356)</f>
        <v>-1.3529411764705883</v>
      </c>
      <c r="L356" s="817">
        <f>-(K356*E356-C356)</f>
        <v>273.23529411764707</v>
      </c>
      <c r="M356" s="816">
        <f>D356/(F356-G356)</f>
        <v>-3.0303030303030303</v>
      </c>
      <c r="N356" s="817">
        <f>-(M356*F356-D356)</f>
        <v>550</v>
      </c>
      <c r="P356" s="948">
        <v>0</v>
      </c>
      <c r="Q356" s="948">
        <v>0</v>
      </c>
    </row>
    <row r="357" spans="1:17">
      <c r="A357" s="706">
        <v>10200</v>
      </c>
      <c r="B357" s="886" t="s">
        <v>2754</v>
      </c>
      <c r="C357" s="887">
        <v>165</v>
      </c>
      <c r="D357" s="887">
        <v>50</v>
      </c>
      <c r="E357" s="887">
        <v>80</v>
      </c>
      <c r="F357" s="887">
        <v>165</v>
      </c>
      <c r="G357" s="887">
        <v>181.5</v>
      </c>
      <c r="H357" s="888">
        <v>1</v>
      </c>
      <c r="J357" s="815">
        <f t="shared" si="61"/>
        <v>165</v>
      </c>
      <c r="K357" s="816">
        <f>(D357-C357)/(F357-E357)</f>
        <v>-1.3529411764705883</v>
      </c>
      <c r="L357" s="817">
        <f>-(K357*E357-C357)</f>
        <v>273.23529411764707</v>
      </c>
      <c r="M357" s="816">
        <f>D357/(F357-G357)</f>
        <v>-3.0303030303030303</v>
      </c>
      <c r="N357" s="817">
        <f>-(M357*F357-D357)</f>
        <v>550</v>
      </c>
      <c r="P357" s="948">
        <v>0</v>
      </c>
      <c r="Q357" s="948">
        <v>0</v>
      </c>
    </row>
    <row r="358" spans="1:17">
      <c r="A358" s="706">
        <v>10201</v>
      </c>
      <c r="B358" s="886" t="s">
        <v>909</v>
      </c>
      <c r="C358" s="887">
        <v>150</v>
      </c>
      <c r="D358" s="887">
        <v>150</v>
      </c>
      <c r="E358" s="887">
        <v>80</v>
      </c>
      <c r="F358" s="887">
        <v>165</v>
      </c>
      <c r="G358" s="887">
        <v>165</v>
      </c>
      <c r="H358" s="888">
        <v>3</v>
      </c>
      <c r="J358" s="819">
        <f t="shared" si="61"/>
        <v>150</v>
      </c>
      <c r="K358" s="818">
        <f>C358/(E358-G358)</f>
        <v>-1.7647058823529411</v>
      </c>
      <c r="L358" s="820">
        <f>C358-K358*E358</f>
        <v>291.1764705882353</v>
      </c>
      <c r="M358" s="818" t="s">
        <v>32</v>
      </c>
      <c r="N358" s="820" t="s">
        <v>32</v>
      </c>
      <c r="P358" s="948">
        <v>0</v>
      </c>
      <c r="Q358" s="948">
        <v>0</v>
      </c>
    </row>
    <row r="359" spans="1:17">
      <c r="A359" s="706">
        <v>10202</v>
      </c>
      <c r="B359" s="886" t="s">
        <v>916</v>
      </c>
      <c r="C359" s="887">
        <v>175</v>
      </c>
      <c r="D359" s="887">
        <v>40</v>
      </c>
      <c r="E359" s="887">
        <v>105</v>
      </c>
      <c r="F359" s="887">
        <v>210</v>
      </c>
      <c r="G359" s="887">
        <v>225</v>
      </c>
      <c r="H359" s="888">
        <v>1</v>
      </c>
      <c r="J359" s="815">
        <f t="shared" si="61"/>
        <v>175</v>
      </c>
      <c r="K359" s="816">
        <f>(D359-C359)/(F359-E359)</f>
        <v>-1.2857142857142858</v>
      </c>
      <c r="L359" s="817">
        <f>-(K359*E359-C359)</f>
        <v>310</v>
      </c>
      <c r="M359" s="816">
        <f>D359/(F359-G359)</f>
        <v>-2.6666666666666665</v>
      </c>
      <c r="N359" s="817">
        <f>-(M359*F359-D359)</f>
        <v>600</v>
      </c>
      <c r="P359" s="948">
        <v>0</v>
      </c>
      <c r="Q359" s="948">
        <v>0</v>
      </c>
    </row>
    <row r="360" spans="1:17">
      <c r="A360" s="706">
        <v>10203</v>
      </c>
      <c r="B360" s="886" t="s">
        <v>917</v>
      </c>
      <c r="C360" s="887">
        <v>175</v>
      </c>
      <c r="D360" s="887">
        <v>40</v>
      </c>
      <c r="E360" s="887">
        <v>105</v>
      </c>
      <c r="F360" s="887">
        <v>210</v>
      </c>
      <c r="G360" s="887">
        <v>225</v>
      </c>
      <c r="H360" s="888">
        <v>1</v>
      </c>
      <c r="J360" s="815">
        <f t="shared" si="61"/>
        <v>175</v>
      </c>
      <c r="K360" s="816">
        <f>(D360-C360)/(F360-E360)</f>
        <v>-1.2857142857142858</v>
      </c>
      <c r="L360" s="817">
        <f>-(K360*E360-C360)</f>
        <v>310</v>
      </c>
      <c r="M360" s="816">
        <f>D360/(F360-G360)</f>
        <v>-2.6666666666666665</v>
      </c>
      <c r="N360" s="817">
        <f>-(M360*F360-D360)</f>
        <v>600</v>
      </c>
      <c r="P360" s="948">
        <v>0</v>
      </c>
      <c r="Q360" s="948">
        <v>0</v>
      </c>
    </row>
    <row r="361" spans="1:17">
      <c r="A361" s="706">
        <v>10204</v>
      </c>
      <c r="B361" s="886" t="s">
        <v>920</v>
      </c>
      <c r="C361" s="887">
        <v>150</v>
      </c>
      <c r="D361" s="887">
        <v>150</v>
      </c>
      <c r="E361" s="887">
        <v>105</v>
      </c>
      <c r="F361" s="887">
        <v>210</v>
      </c>
      <c r="G361" s="887">
        <v>210</v>
      </c>
      <c r="H361" s="888">
        <v>3</v>
      </c>
      <c r="J361" s="819">
        <f t="shared" si="61"/>
        <v>150</v>
      </c>
      <c r="K361" s="818">
        <f>C361/(E361-G361)</f>
        <v>-1.4285714285714286</v>
      </c>
      <c r="L361" s="820">
        <f>C361-K361*E361</f>
        <v>300</v>
      </c>
      <c r="M361" s="818" t="s">
        <v>32</v>
      </c>
      <c r="N361" s="820" t="s">
        <v>32</v>
      </c>
      <c r="P361" s="948">
        <v>0</v>
      </c>
      <c r="Q361" s="948">
        <v>0</v>
      </c>
    </row>
    <row r="362" spans="1:17">
      <c r="A362" s="706">
        <v>10205</v>
      </c>
      <c r="B362" s="886" t="s">
        <v>923</v>
      </c>
      <c r="C362" s="887">
        <v>24</v>
      </c>
      <c r="D362" s="887">
        <v>24</v>
      </c>
      <c r="E362" s="887">
        <v>12</v>
      </c>
      <c r="F362" s="887">
        <v>12</v>
      </c>
      <c r="G362" s="887">
        <v>12</v>
      </c>
      <c r="H362" s="888">
        <v>2</v>
      </c>
      <c r="J362" s="821">
        <f t="shared" si="61"/>
        <v>24</v>
      </c>
      <c r="K362" s="821" t="e">
        <f>(D362-C362)/(F362-E362)</f>
        <v>#DIV/0!</v>
      </c>
      <c r="L362" s="821" t="e">
        <f>-(K362*E362-C362)</f>
        <v>#DIV/0!</v>
      </c>
      <c r="M362" s="821" t="s">
        <v>32</v>
      </c>
      <c r="N362" s="822" t="s">
        <v>32</v>
      </c>
      <c r="P362" s="948">
        <v>0</v>
      </c>
      <c r="Q362" s="948">
        <v>0</v>
      </c>
    </row>
    <row r="363" spans="1:17">
      <c r="A363" s="706">
        <v>10206</v>
      </c>
      <c r="B363" s="886" t="s">
        <v>926</v>
      </c>
      <c r="C363" s="887">
        <v>15</v>
      </c>
      <c r="D363" s="887">
        <v>15</v>
      </c>
      <c r="E363" s="887">
        <v>38</v>
      </c>
      <c r="F363" s="887">
        <v>45</v>
      </c>
      <c r="G363" s="887">
        <v>45</v>
      </c>
      <c r="H363" s="888">
        <v>3</v>
      </c>
      <c r="J363" s="819">
        <f t="shared" si="61"/>
        <v>15</v>
      </c>
      <c r="K363" s="818">
        <f>C363/(E363-G363)</f>
        <v>-2.1428571428571428</v>
      </c>
      <c r="L363" s="820">
        <f>C363-K363*E363</f>
        <v>96.428571428571431</v>
      </c>
      <c r="M363" s="818" t="s">
        <v>32</v>
      </c>
      <c r="N363" s="820" t="s">
        <v>32</v>
      </c>
      <c r="P363" s="948">
        <v>0</v>
      </c>
      <c r="Q363" s="948">
        <v>0</v>
      </c>
    </row>
    <row r="364" spans="1:17">
      <c r="A364" s="706">
        <v>10207</v>
      </c>
      <c r="B364" s="886" t="s">
        <v>891</v>
      </c>
      <c r="C364" s="887">
        <v>20</v>
      </c>
      <c r="D364" s="887">
        <v>12</v>
      </c>
      <c r="E364" s="887">
        <v>0</v>
      </c>
      <c r="F364" s="887">
        <v>8</v>
      </c>
      <c r="G364" s="887">
        <v>8</v>
      </c>
      <c r="H364" s="888">
        <v>2</v>
      </c>
      <c r="J364" s="259">
        <f t="shared" si="61"/>
        <v>20</v>
      </c>
      <c r="K364" s="259">
        <f t="shared" ref="K364:K370" si="68">(D364-C364)/(F364-E364)</f>
        <v>-1</v>
      </c>
      <c r="L364" s="259">
        <f t="shared" ref="L364:L370" si="69">-(K364*E364-C364)</f>
        <v>20</v>
      </c>
      <c r="M364" s="259" t="s">
        <v>32</v>
      </c>
      <c r="N364" s="260" t="s">
        <v>32</v>
      </c>
      <c r="P364" s="948">
        <v>0</v>
      </c>
      <c r="Q364" s="948">
        <v>0</v>
      </c>
    </row>
    <row r="365" spans="1:17">
      <c r="A365" s="706">
        <v>10208</v>
      </c>
      <c r="B365" s="886" t="s">
        <v>1774</v>
      </c>
      <c r="C365" s="887">
        <v>20</v>
      </c>
      <c r="D365" s="887">
        <v>12</v>
      </c>
      <c r="E365" s="887">
        <v>0</v>
      </c>
      <c r="F365" s="887">
        <v>8</v>
      </c>
      <c r="G365" s="887">
        <v>8</v>
      </c>
      <c r="H365" s="888">
        <v>2</v>
      </c>
      <c r="J365" s="259">
        <f t="shared" si="61"/>
        <v>20</v>
      </c>
      <c r="K365" s="259">
        <f t="shared" si="68"/>
        <v>-1</v>
      </c>
      <c r="L365" s="259">
        <f t="shared" si="69"/>
        <v>20</v>
      </c>
      <c r="M365" s="259" t="s">
        <v>32</v>
      </c>
      <c r="N365" s="260" t="s">
        <v>32</v>
      </c>
      <c r="P365" s="948">
        <v>0</v>
      </c>
      <c r="Q365" s="948">
        <v>0</v>
      </c>
    </row>
    <row r="366" spans="1:17">
      <c r="A366" s="706">
        <v>10209</v>
      </c>
      <c r="B366" s="886" t="s">
        <v>1849</v>
      </c>
      <c r="C366" s="887">
        <v>15</v>
      </c>
      <c r="D366" s="887">
        <v>12</v>
      </c>
      <c r="E366" s="887">
        <v>0</v>
      </c>
      <c r="F366" s="887">
        <v>3</v>
      </c>
      <c r="G366" s="887">
        <v>3</v>
      </c>
      <c r="H366" s="888">
        <v>2</v>
      </c>
      <c r="J366" s="259">
        <f t="shared" si="61"/>
        <v>15</v>
      </c>
      <c r="K366" s="259">
        <f t="shared" si="68"/>
        <v>-1</v>
      </c>
      <c r="L366" s="259">
        <f t="shared" si="69"/>
        <v>15</v>
      </c>
      <c r="M366" s="259" t="s">
        <v>32</v>
      </c>
      <c r="N366" s="260" t="s">
        <v>32</v>
      </c>
      <c r="P366" s="948">
        <v>0</v>
      </c>
      <c r="Q366" s="948">
        <v>0</v>
      </c>
    </row>
    <row r="367" spans="1:17">
      <c r="A367" s="706">
        <v>10210</v>
      </c>
      <c r="B367" s="886" t="s">
        <v>998</v>
      </c>
      <c r="C367" s="887">
        <v>190</v>
      </c>
      <c r="D367" s="887">
        <v>50</v>
      </c>
      <c r="E367" s="887">
        <v>140</v>
      </c>
      <c r="F367" s="887">
        <v>280</v>
      </c>
      <c r="G367" s="887">
        <v>290</v>
      </c>
      <c r="H367" s="888">
        <v>1</v>
      </c>
      <c r="J367" s="245">
        <f t="shared" si="61"/>
        <v>190</v>
      </c>
      <c r="K367" s="257">
        <f t="shared" si="68"/>
        <v>-1</v>
      </c>
      <c r="L367" s="258">
        <f t="shared" si="69"/>
        <v>330</v>
      </c>
      <c r="M367" s="257">
        <f t="shared" ref="M367:M372" si="70">D367/(F367-G367)</f>
        <v>-5</v>
      </c>
      <c r="N367" s="258">
        <f t="shared" ref="N367:N372" si="71">-(M367*F367-D367)</f>
        <v>1450</v>
      </c>
      <c r="P367" s="948">
        <v>0</v>
      </c>
      <c r="Q367" s="948">
        <v>0</v>
      </c>
    </row>
    <row r="368" spans="1:17">
      <c r="A368" s="706">
        <v>10211</v>
      </c>
      <c r="B368" s="886" t="s">
        <v>999</v>
      </c>
      <c r="C368" s="887">
        <v>190</v>
      </c>
      <c r="D368" s="887">
        <v>50</v>
      </c>
      <c r="E368" s="887">
        <v>140</v>
      </c>
      <c r="F368" s="887">
        <v>280</v>
      </c>
      <c r="G368" s="887">
        <v>290</v>
      </c>
      <c r="H368" s="888">
        <v>1</v>
      </c>
      <c r="J368" s="245">
        <f t="shared" si="61"/>
        <v>190</v>
      </c>
      <c r="K368" s="257">
        <f t="shared" si="68"/>
        <v>-1</v>
      </c>
      <c r="L368" s="258">
        <f t="shared" si="69"/>
        <v>330</v>
      </c>
      <c r="M368" s="257">
        <f t="shared" si="70"/>
        <v>-5</v>
      </c>
      <c r="N368" s="258">
        <f t="shared" si="71"/>
        <v>1450</v>
      </c>
      <c r="P368" s="948">
        <v>0</v>
      </c>
      <c r="Q368" s="948">
        <v>0</v>
      </c>
    </row>
    <row r="369" spans="1:17">
      <c r="A369" s="706">
        <v>10212</v>
      </c>
      <c r="B369" s="886" t="s">
        <v>2891</v>
      </c>
      <c r="C369" s="887">
        <v>190</v>
      </c>
      <c r="D369" s="887">
        <v>50</v>
      </c>
      <c r="E369" s="887">
        <v>140</v>
      </c>
      <c r="F369" s="887">
        <v>280</v>
      </c>
      <c r="G369" s="887">
        <v>290</v>
      </c>
      <c r="H369" s="888">
        <v>1</v>
      </c>
      <c r="J369" s="245">
        <f t="shared" si="61"/>
        <v>190</v>
      </c>
      <c r="K369" s="257">
        <f t="shared" si="68"/>
        <v>-1</v>
      </c>
      <c r="L369" s="258">
        <f t="shared" si="69"/>
        <v>330</v>
      </c>
      <c r="M369" s="257">
        <f t="shared" si="70"/>
        <v>-5</v>
      </c>
      <c r="N369" s="258">
        <f t="shared" si="71"/>
        <v>1450</v>
      </c>
      <c r="P369" s="948">
        <v>0</v>
      </c>
      <c r="Q369" s="948">
        <v>0</v>
      </c>
    </row>
    <row r="370" spans="1:17">
      <c r="A370" s="706">
        <v>10213</v>
      </c>
      <c r="B370" s="886" t="s">
        <v>2892</v>
      </c>
      <c r="C370" s="887">
        <v>190</v>
      </c>
      <c r="D370" s="887">
        <v>50</v>
      </c>
      <c r="E370" s="887">
        <v>140</v>
      </c>
      <c r="F370" s="887">
        <v>280</v>
      </c>
      <c r="G370" s="887">
        <v>290</v>
      </c>
      <c r="H370" s="888">
        <v>1</v>
      </c>
      <c r="J370" s="245">
        <f t="shared" si="61"/>
        <v>190</v>
      </c>
      <c r="K370" s="257">
        <f t="shared" si="68"/>
        <v>-1</v>
      </c>
      <c r="L370" s="258">
        <f t="shared" si="69"/>
        <v>330</v>
      </c>
      <c r="M370" s="257">
        <f t="shared" si="70"/>
        <v>-5</v>
      </c>
      <c r="N370" s="258">
        <f t="shared" si="71"/>
        <v>1450</v>
      </c>
      <c r="P370" s="948">
        <v>0</v>
      </c>
      <c r="Q370" s="948">
        <v>0</v>
      </c>
    </row>
    <row r="371" spans="1:17">
      <c r="A371" s="706">
        <v>10214</v>
      </c>
      <c r="B371" s="886" t="s">
        <v>1507</v>
      </c>
      <c r="C371" s="887" t="s">
        <v>936</v>
      </c>
      <c r="D371" s="887" t="s">
        <v>32</v>
      </c>
      <c r="E371" s="887" t="s">
        <v>936</v>
      </c>
      <c r="F371" s="887" t="s">
        <v>32</v>
      </c>
      <c r="G371" s="887" t="s">
        <v>936</v>
      </c>
      <c r="H371" s="888" t="s">
        <v>936</v>
      </c>
      <c r="J371" s="245" t="str">
        <f t="shared" ref="J371:J380" si="72">C371</f>
        <v>-</v>
      </c>
      <c r="K371" s="257" t="e">
        <f t="shared" ref="K371:K376" si="73">(D371-C371)/(F371-E371)</f>
        <v>#VALUE!</v>
      </c>
      <c r="L371" s="258" t="e">
        <f t="shared" ref="L371:L376" si="74">-(K371*E371-C371)</f>
        <v>#VALUE!</v>
      </c>
      <c r="M371" s="257" t="e">
        <f t="shared" si="70"/>
        <v>#VALUE!</v>
      </c>
      <c r="N371" s="258" t="e">
        <f t="shared" si="71"/>
        <v>#VALUE!</v>
      </c>
      <c r="P371" s="948" t="s">
        <v>936</v>
      </c>
      <c r="Q371" s="948" t="s">
        <v>936</v>
      </c>
    </row>
    <row r="372" spans="1:17">
      <c r="A372" s="706">
        <v>10215</v>
      </c>
      <c r="B372" s="886" t="s">
        <v>1508</v>
      </c>
      <c r="C372" s="887" t="s">
        <v>936</v>
      </c>
      <c r="D372" s="887" t="s">
        <v>32</v>
      </c>
      <c r="E372" s="887" t="s">
        <v>936</v>
      </c>
      <c r="F372" s="887" t="s">
        <v>32</v>
      </c>
      <c r="G372" s="887" t="s">
        <v>936</v>
      </c>
      <c r="H372" s="888" t="s">
        <v>936</v>
      </c>
      <c r="J372" s="245" t="str">
        <f t="shared" si="72"/>
        <v>-</v>
      </c>
      <c r="K372" s="257" t="e">
        <f t="shared" si="73"/>
        <v>#VALUE!</v>
      </c>
      <c r="L372" s="258" t="e">
        <f t="shared" si="74"/>
        <v>#VALUE!</v>
      </c>
      <c r="M372" s="257" t="e">
        <f t="shared" si="70"/>
        <v>#VALUE!</v>
      </c>
      <c r="N372" s="258" t="e">
        <f t="shared" si="71"/>
        <v>#VALUE!</v>
      </c>
      <c r="P372" s="948" t="s">
        <v>936</v>
      </c>
      <c r="Q372" s="948" t="s">
        <v>936</v>
      </c>
    </row>
    <row r="373" spans="1:17">
      <c r="A373" s="706">
        <v>10216</v>
      </c>
      <c r="B373" s="886" t="s">
        <v>164</v>
      </c>
      <c r="C373" s="887">
        <v>900</v>
      </c>
      <c r="D373" s="887">
        <v>50</v>
      </c>
      <c r="E373" s="887">
        <v>850</v>
      </c>
      <c r="F373" s="887">
        <v>1700</v>
      </c>
      <c r="G373" s="887">
        <v>1700</v>
      </c>
      <c r="H373" s="888">
        <v>2</v>
      </c>
      <c r="J373" s="259">
        <f t="shared" si="72"/>
        <v>900</v>
      </c>
      <c r="K373" s="259">
        <f t="shared" si="73"/>
        <v>-1</v>
      </c>
      <c r="L373" s="259">
        <f t="shared" si="74"/>
        <v>1750</v>
      </c>
      <c r="M373" s="259" t="s">
        <v>32</v>
      </c>
      <c r="N373" s="260" t="s">
        <v>32</v>
      </c>
      <c r="P373" s="948">
        <v>0</v>
      </c>
      <c r="Q373" s="948">
        <v>0</v>
      </c>
    </row>
    <row r="374" spans="1:17">
      <c r="A374" s="706">
        <v>10217</v>
      </c>
      <c r="B374" s="886" t="s">
        <v>3453</v>
      </c>
      <c r="C374" s="887">
        <v>900</v>
      </c>
      <c r="D374" s="887">
        <v>50</v>
      </c>
      <c r="E374" s="887">
        <v>1450</v>
      </c>
      <c r="F374" s="887">
        <v>2300</v>
      </c>
      <c r="G374" s="887">
        <v>2300</v>
      </c>
      <c r="H374" s="888">
        <v>2</v>
      </c>
      <c r="J374" s="259">
        <f t="shared" si="72"/>
        <v>900</v>
      </c>
      <c r="K374" s="259">
        <f t="shared" si="73"/>
        <v>-1</v>
      </c>
      <c r="L374" s="259">
        <f t="shared" si="74"/>
        <v>2350</v>
      </c>
      <c r="M374" s="259" t="s">
        <v>32</v>
      </c>
      <c r="N374" s="260" t="s">
        <v>32</v>
      </c>
      <c r="P374" s="948">
        <v>0</v>
      </c>
      <c r="Q374" s="948">
        <v>0</v>
      </c>
    </row>
    <row r="375" spans="1:17">
      <c r="A375" s="706">
        <v>10218</v>
      </c>
      <c r="B375" s="886" t="s">
        <v>3670</v>
      </c>
      <c r="C375" s="887">
        <v>20</v>
      </c>
      <c r="D375" s="887">
        <v>2</v>
      </c>
      <c r="E375" s="887">
        <v>12</v>
      </c>
      <c r="F375" s="887">
        <v>35</v>
      </c>
      <c r="G375" s="887">
        <v>35</v>
      </c>
      <c r="H375" s="888">
        <v>2</v>
      </c>
      <c r="J375" s="259">
        <f t="shared" si="72"/>
        <v>20</v>
      </c>
      <c r="K375" s="259">
        <f t="shared" si="73"/>
        <v>-0.78260869565217395</v>
      </c>
      <c r="L375" s="259">
        <f t="shared" si="74"/>
        <v>29.391304347826086</v>
      </c>
      <c r="M375" s="259" t="s">
        <v>32</v>
      </c>
      <c r="N375" s="260" t="s">
        <v>32</v>
      </c>
      <c r="P375" s="948">
        <v>0</v>
      </c>
      <c r="Q375" s="948">
        <v>0</v>
      </c>
    </row>
    <row r="376" spans="1:17">
      <c r="A376" s="706">
        <v>10219</v>
      </c>
      <c r="B376" s="886" t="s">
        <v>3076</v>
      </c>
      <c r="C376" s="887">
        <v>25</v>
      </c>
      <c r="D376" s="887">
        <v>12</v>
      </c>
      <c r="E376" s="887">
        <v>12</v>
      </c>
      <c r="F376" s="887">
        <v>25</v>
      </c>
      <c r="G376" s="887">
        <v>25</v>
      </c>
      <c r="H376" s="888">
        <v>2</v>
      </c>
      <c r="J376" s="259">
        <f t="shared" si="72"/>
        <v>25</v>
      </c>
      <c r="K376" s="259">
        <f t="shared" si="73"/>
        <v>-1</v>
      </c>
      <c r="L376" s="259">
        <f t="shared" si="74"/>
        <v>37</v>
      </c>
      <c r="M376" s="259" t="s">
        <v>32</v>
      </c>
      <c r="N376" s="260" t="s">
        <v>32</v>
      </c>
      <c r="P376" s="948">
        <v>0</v>
      </c>
      <c r="Q376" s="948">
        <v>0</v>
      </c>
    </row>
    <row r="377" spans="1:17">
      <c r="A377" s="706">
        <v>10220</v>
      </c>
      <c r="B377" s="957" t="s">
        <v>358</v>
      </c>
      <c r="C377" s="958">
        <v>210</v>
      </c>
      <c r="D377" s="958">
        <v>50</v>
      </c>
      <c r="E377" s="958">
        <v>105</v>
      </c>
      <c r="F377" s="958">
        <v>210</v>
      </c>
      <c r="G377" s="958">
        <v>215</v>
      </c>
      <c r="H377" s="947">
        <v>1</v>
      </c>
      <c r="I377" s="436"/>
      <c r="J377" s="245">
        <f t="shared" si="72"/>
        <v>210</v>
      </c>
      <c r="K377" s="257">
        <f>(D377-C377)/(F377-E377)</f>
        <v>-1.5238095238095237</v>
      </c>
      <c r="L377" s="258">
        <f>-(K377*E377-C377)</f>
        <v>370</v>
      </c>
      <c r="M377" s="257">
        <f>D377/(F377-G377)</f>
        <v>-10</v>
      </c>
      <c r="N377" s="258">
        <f>-(M377*F377-D377)</f>
        <v>2150</v>
      </c>
      <c r="O377" s="436"/>
      <c r="P377" s="948">
        <v>2.5</v>
      </c>
      <c r="Q377" s="948">
        <v>1</v>
      </c>
    </row>
    <row r="378" spans="1:17">
      <c r="A378" s="706">
        <v>10221</v>
      </c>
      <c r="B378" s="957" t="s">
        <v>362</v>
      </c>
      <c r="C378" s="958">
        <v>210</v>
      </c>
      <c r="D378" s="958">
        <v>50</v>
      </c>
      <c r="E378" s="958">
        <v>105</v>
      </c>
      <c r="F378" s="958">
        <v>210</v>
      </c>
      <c r="G378" s="958">
        <v>215</v>
      </c>
      <c r="H378" s="947">
        <v>1</v>
      </c>
      <c r="J378" s="245">
        <f t="shared" si="72"/>
        <v>210</v>
      </c>
      <c r="K378" s="257">
        <f>(D378-C378)/(F378-E378)</f>
        <v>-1.5238095238095237</v>
      </c>
      <c r="L378" s="258">
        <f>-(K378*E378-C378)</f>
        <v>370</v>
      </c>
      <c r="M378" s="257">
        <f>D378/(F378-G378)</f>
        <v>-10</v>
      </c>
      <c r="N378" s="258">
        <f>-(M378*F378-D378)</f>
        <v>2150</v>
      </c>
      <c r="P378" s="948">
        <v>2.5</v>
      </c>
      <c r="Q378" s="948">
        <v>1</v>
      </c>
    </row>
    <row r="379" spans="1:17">
      <c r="A379" s="706">
        <v>10222</v>
      </c>
      <c r="B379" s="957" t="s">
        <v>625</v>
      </c>
      <c r="C379" s="958">
        <v>270</v>
      </c>
      <c r="D379" s="958">
        <v>50</v>
      </c>
      <c r="E379" s="958">
        <v>135</v>
      </c>
      <c r="F379" s="958">
        <v>270</v>
      </c>
      <c r="G379" s="958">
        <v>285</v>
      </c>
      <c r="H379" s="947">
        <v>1</v>
      </c>
      <c r="J379" s="245">
        <f t="shared" si="72"/>
        <v>270</v>
      </c>
      <c r="K379" s="257">
        <f>(D379-C379)/(F379-E379)</f>
        <v>-1.6296296296296295</v>
      </c>
      <c r="L379" s="258">
        <f>-(K379*E379-C379)</f>
        <v>490</v>
      </c>
      <c r="M379" s="257">
        <f>D379/(F379-G379)</f>
        <v>-3.3333333333333335</v>
      </c>
      <c r="N379" s="258">
        <f>-(M379*F379-D379)</f>
        <v>950</v>
      </c>
      <c r="P379" s="948">
        <v>1.25</v>
      </c>
      <c r="Q379" s="948">
        <v>1</v>
      </c>
    </row>
    <row r="380" spans="1:17">
      <c r="A380" s="706">
        <v>10223</v>
      </c>
      <c r="B380" s="957" t="s">
        <v>629</v>
      </c>
      <c r="C380" s="958">
        <v>270</v>
      </c>
      <c r="D380" s="958">
        <v>50</v>
      </c>
      <c r="E380" s="958">
        <v>135</v>
      </c>
      <c r="F380" s="958">
        <v>270</v>
      </c>
      <c r="G380" s="958">
        <v>285</v>
      </c>
      <c r="H380" s="947">
        <v>1</v>
      </c>
      <c r="J380" s="245">
        <f t="shared" si="72"/>
        <v>270</v>
      </c>
      <c r="K380" s="257">
        <f>(D380-C380)/(F380-E380)</f>
        <v>-1.6296296296296295</v>
      </c>
      <c r="L380" s="258">
        <f>-(K380*E380-C380)</f>
        <v>490</v>
      </c>
      <c r="M380" s="257">
        <f>D380/(F380-G380)</f>
        <v>-3.3333333333333335</v>
      </c>
      <c r="N380" s="258">
        <f>-(M380*F380-D380)</f>
        <v>950</v>
      </c>
      <c r="P380" s="948">
        <v>1.25</v>
      </c>
      <c r="Q380" s="948">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sheetPr>
  <dimension ref="A1:R81"/>
  <sheetViews>
    <sheetView zoomScaleNormal="90" workbookViewId="0">
      <selection activeCell="F10" sqref="A9:F10"/>
    </sheetView>
  </sheetViews>
  <sheetFormatPr baseColWidth="10" defaultColWidth="9.33203125" defaultRowHeight="14.1" customHeight="1"/>
  <cols>
    <col min="1" max="1" width="1.83203125" style="5" customWidth="1"/>
    <col min="2" max="2" width="31.83203125" style="5" customWidth="1"/>
    <col min="3" max="3" width="14.1640625" style="5" customWidth="1"/>
    <col min="4" max="4" width="15.33203125" style="46" customWidth="1"/>
    <col min="5" max="5" width="15.33203125" style="5" customWidth="1"/>
    <col min="6" max="9" width="10.83203125" style="5" customWidth="1"/>
    <col min="10" max="10" width="1" style="5" customWidth="1"/>
    <col min="11" max="11" width="23.6640625" style="5" customWidth="1"/>
    <col min="12" max="12" width="10.83203125" style="5" customWidth="1"/>
    <col min="13" max="13" width="1.5" style="5" customWidth="1"/>
    <col min="14" max="14" width="21.6640625" style="5" customWidth="1"/>
    <col min="15" max="15" width="10.83203125" style="5" customWidth="1"/>
    <col min="16" max="16" width="2.83203125" style="5" customWidth="1"/>
    <col min="17" max="17" width="28.1640625" style="5" customWidth="1"/>
    <col min="18" max="18" width="10.6640625" style="5" bestFit="1" customWidth="1"/>
    <col min="19" max="16384" width="9.33203125" style="5"/>
  </cols>
  <sheetData>
    <row r="1" spans="1:18" s="19" customFormat="1" ht="20.25">
      <c r="A1" s="10"/>
      <c r="B1" s="96" t="s">
        <v>3727</v>
      </c>
      <c r="E1" s="389" t="s">
        <v>2206</v>
      </c>
      <c r="F1" s="76"/>
      <c r="G1" s="76"/>
      <c r="K1" s="10"/>
      <c r="L1" s="10"/>
      <c r="M1" s="10"/>
      <c r="O1" s="10"/>
      <c r="P1" s="10"/>
      <c r="Q1" s="10"/>
      <c r="R1" s="10"/>
    </row>
    <row r="2" spans="1:18" ht="12.75">
      <c r="B2" s="5" t="s">
        <v>3360</v>
      </c>
      <c r="D2" s="9"/>
      <c r="E2" s="11"/>
      <c r="F2" s="11"/>
      <c r="G2" s="11"/>
      <c r="H2" s="9"/>
      <c r="I2" s="9"/>
      <c r="J2" s="9"/>
    </row>
    <row r="3" spans="1:18" ht="14.1" customHeight="1">
      <c r="B3" s="5" t="s">
        <v>2110</v>
      </c>
      <c r="C3" s="67">
        <f>'Misc Data'!B26</f>
        <v>10001</v>
      </c>
      <c r="D3" s="9" t="str">
        <f>'Misc Data'!C26</f>
        <v>R-2000iB/210F</v>
      </c>
      <c r="E3" s="150" t="s">
        <v>1592</v>
      </c>
      <c r="F3" s="151" t="s">
        <v>3432</v>
      </c>
      <c r="G3" s="150" t="s">
        <v>2972</v>
      </c>
      <c r="H3" s="151" t="s">
        <v>3431</v>
      </c>
      <c r="J3" s="39"/>
      <c r="K3" s="39" t="s">
        <v>2052</v>
      </c>
      <c r="L3" s="39"/>
      <c r="O3" s="39"/>
      <c r="Q3" s="388" t="s">
        <v>1361</v>
      </c>
      <c r="R3" s="388"/>
    </row>
    <row r="4" spans="1:18" s="4" customFormat="1" ht="14.1" customHeight="1" thickBot="1">
      <c r="B4" s="23" t="s">
        <v>3165</v>
      </c>
      <c r="C4" s="70">
        <f>'Misc Data'!B11</f>
        <v>1</v>
      </c>
      <c r="E4" s="86">
        <v>1</v>
      </c>
      <c r="F4" s="149">
        <v>2</v>
      </c>
      <c r="G4" s="87">
        <v>3</v>
      </c>
      <c r="H4" s="87">
        <v>4</v>
      </c>
      <c r="J4" s="35"/>
      <c r="L4" s="151"/>
      <c r="M4" s="151"/>
      <c r="N4" s="39" t="s">
        <v>3594</v>
      </c>
      <c r="O4" s="5"/>
      <c r="P4" s="5"/>
      <c r="R4" s="5"/>
    </row>
    <row r="5" spans="1:18" s="19" customFormat="1" ht="15.95" customHeight="1" thickBot="1">
      <c r="A5" s="10"/>
      <c r="B5" s="18" t="s">
        <v>1383</v>
      </c>
      <c r="C5" s="24"/>
      <c r="D5" s="13" t="s">
        <v>3636</v>
      </c>
      <c r="E5" s="13" t="s">
        <v>292</v>
      </c>
      <c r="F5" s="13" t="s">
        <v>292</v>
      </c>
      <c r="G5" s="146" t="s">
        <v>139</v>
      </c>
      <c r="H5" s="153" t="s">
        <v>2202</v>
      </c>
      <c r="I5" s="154" t="s">
        <v>288</v>
      </c>
      <c r="J5" s="32"/>
      <c r="K5" s="49" t="s">
        <v>2053</v>
      </c>
      <c r="L5" s="50">
        <v>0</v>
      </c>
      <c r="M5" s="10"/>
      <c r="N5" s="390" t="s">
        <v>839</v>
      </c>
      <c r="O5" s="50">
        <f>('Payload Input'!$E$19^2+'Payload Input'!$E$20^2)^(1/2)</f>
        <v>8.9274892298871311E-2</v>
      </c>
      <c r="P5" s="10"/>
      <c r="Q5" s="4" t="s">
        <v>91</v>
      </c>
      <c r="R5" s="10"/>
    </row>
    <row r="6" spans="1:18" ht="14.1" customHeight="1">
      <c r="B6" s="14" t="s">
        <v>427</v>
      </c>
      <c r="C6" s="72">
        <f>VLOOKUP($C$3,Table1,12)</f>
        <v>210</v>
      </c>
      <c r="D6" s="68">
        <f>HLOOKUP($C$4,$E$4:$H$12,3)</f>
        <v>115</v>
      </c>
      <c r="E6" s="68">
        <f>'Payload Input'!$E$18</f>
        <v>115</v>
      </c>
      <c r="F6" s="68">
        <f>'Payload Input'!$E$18</f>
        <v>115</v>
      </c>
      <c r="G6" s="147">
        <f>IF(('Misc Data'!$B$11=3),Anal_Input_1, 0)</f>
        <v>0</v>
      </c>
      <c r="H6" s="155">
        <f>I6</f>
        <v>0</v>
      </c>
      <c r="I6" s="156">
        <f>IF(('Misc Data'!$B$11=4),Anal_Input_1, 0)</f>
        <v>0</v>
      </c>
      <c r="J6" s="39"/>
      <c r="K6" s="51"/>
      <c r="L6" s="52"/>
      <c r="M6" s="400"/>
      <c r="N6" s="391" t="s">
        <v>840</v>
      </c>
      <c r="O6" s="52">
        <f>'Payload Input'!$E$21+'Payload Input'!$E$26</f>
        <v>0.41974499999999998</v>
      </c>
      <c r="Q6" s="31" t="s">
        <v>427</v>
      </c>
      <c r="R6" s="450">
        <f>D6</f>
        <v>115</v>
      </c>
    </row>
    <row r="7" spans="1:18" ht="14.1" customHeight="1">
      <c r="B7" s="14" t="s">
        <v>364</v>
      </c>
      <c r="C7" s="72">
        <f>VLOOKUP($C$3,Table1,6)</f>
        <v>1333</v>
      </c>
      <c r="D7" s="68">
        <f>IF(OR(Anal_Robot_Code=10111,Anal_Robot_Code=10214,Anal_Robot_Code=10215),"-",HLOOKUP($C$4,$E$4:$H$12,4))</f>
        <v>483.63386234917573</v>
      </c>
      <c r="E7" s="68">
        <f>'Payload Input'!$E$31</f>
        <v>483.63386234917573</v>
      </c>
      <c r="F7" s="68">
        <f>'Payload Input'!$E$31</f>
        <v>483.63386234917573</v>
      </c>
      <c r="G7" s="147">
        <f>IF(('Misc Data'!$B$11=3),Anal_Input_2, 0)</f>
        <v>0</v>
      </c>
      <c r="H7" s="155">
        <f>I7</f>
        <v>0</v>
      </c>
      <c r="I7" s="156">
        <f>IF(('Misc Data'!$B$11=4),Anal_Input_2, 0)</f>
        <v>0</v>
      </c>
      <c r="J7" s="39"/>
      <c r="K7" s="51" t="s">
        <v>1564</v>
      </c>
      <c r="L7" s="52">
        <f>D8*SIN(RADIANS(O10))</f>
        <v>100.61280362082795</v>
      </c>
      <c r="M7" s="39"/>
      <c r="N7" s="391" t="s">
        <v>3494</v>
      </c>
      <c r="O7" s="52">
        <f>DEGREES(IF(O6=0,0,ATAN2(O6,O5)))</f>
        <v>12.007227036004721</v>
      </c>
      <c r="Q7" s="31" t="s">
        <v>364</v>
      </c>
      <c r="R7" s="31">
        <f>IF(Axis_Type&lt;&gt;2,D7,IF(Wrist_Down_Fix=1,L7,D8))</f>
        <v>483.63386234917573</v>
      </c>
    </row>
    <row r="8" spans="1:18" ht="14.1" customHeight="1">
      <c r="A8" s="4"/>
      <c r="B8" s="14" t="s">
        <v>365</v>
      </c>
      <c r="C8" s="72">
        <f>VLOOKUP($C$3,Table1,7)</f>
        <v>1333</v>
      </c>
      <c r="D8" s="68">
        <f>HLOOKUP($C$4,$E$4:$H$12,5)</f>
        <v>483.63386234917573</v>
      </c>
      <c r="E8" s="68">
        <f>'Payload Input'!$E$32</f>
        <v>483.63386234917573</v>
      </c>
      <c r="F8" s="68">
        <f>'Payload Input'!$E$32</f>
        <v>483.63386234917573</v>
      </c>
      <c r="G8" s="147">
        <f>IF(('Misc Data'!$B$11=3),Anal_Input_3, 0)</f>
        <v>0</v>
      </c>
      <c r="H8" s="155">
        <f>I8</f>
        <v>0</v>
      </c>
      <c r="I8" s="156">
        <f>IF(('Misc Data'!$B$11=4),Anal_Input_3, 0)</f>
        <v>0</v>
      </c>
      <c r="J8" s="39"/>
      <c r="K8" s="51" t="s">
        <v>3182</v>
      </c>
      <c r="L8" s="52">
        <f>D9*SIN(RADIANS(L5))</f>
        <v>0</v>
      </c>
      <c r="M8" s="39"/>
      <c r="N8" s="391" t="s">
        <v>1493</v>
      </c>
      <c r="O8" s="52">
        <f>O7+L5</f>
        <v>12.007227036004721</v>
      </c>
      <c r="Q8" s="31" t="s">
        <v>365</v>
      </c>
      <c r="R8" s="31">
        <f>IF(Axis_Type&lt;&gt;2,D8,IF(Wrist_Down_Fix=1,L8,D9))</f>
        <v>483.63386234917573</v>
      </c>
    </row>
    <row r="9" spans="1:18" ht="14.1" customHeight="1">
      <c r="B9" s="14" t="s">
        <v>366</v>
      </c>
      <c r="C9" s="72">
        <f>VLOOKUP($C$3,Table1,8)</f>
        <v>706</v>
      </c>
      <c r="D9" s="68">
        <f>HLOOKUP($C$4,$E$4:$H$12,6)</f>
        <v>100.61280362082796</v>
      </c>
      <c r="E9" s="68">
        <f>'Payload Input'!$E$33</f>
        <v>100.61280362082796</v>
      </c>
      <c r="F9" s="68">
        <f>'Payload Input'!$E$33</f>
        <v>100.61280362082796</v>
      </c>
      <c r="G9" s="147">
        <f>IF(('Misc Data'!$B$11=3),Anal_Input_4, 0)</f>
        <v>0</v>
      </c>
      <c r="H9" s="155">
        <f>I9</f>
        <v>0</v>
      </c>
      <c r="I9" s="156">
        <f>IF(('Misc Data'!$B$11=4),Anal_Input_4, 0)</f>
        <v>0</v>
      </c>
      <c r="J9" s="39"/>
      <c r="K9" s="51"/>
      <c r="L9" s="52"/>
      <c r="M9" s="39"/>
      <c r="N9" s="391" t="s">
        <v>2815</v>
      </c>
      <c r="O9" s="52">
        <f>O7-L5</f>
        <v>12.007227036004721</v>
      </c>
      <c r="Q9" s="31" t="s">
        <v>366</v>
      </c>
      <c r="R9" s="31">
        <f>IF(Axis_Count=1,0,D9)</f>
        <v>100.61280362082796</v>
      </c>
    </row>
    <row r="10" spans="1:18" ht="14.1" customHeight="1" thickBot="1">
      <c r="B10" s="14" t="s">
        <v>1914</v>
      </c>
      <c r="C10" s="72">
        <f>VLOOKUP($C$3,Table1,9)</f>
        <v>141.1</v>
      </c>
      <c r="D10" s="68">
        <f>HLOOKUP($C$4,$E$4:$H$12,7)</f>
        <v>35.41587809019633</v>
      </c>
      <c r="E10" s="68">
        <f>'Payload Input'!$E$36</f>
        <v>35.41587809019633</v>
      </c>
      <c r="F10" s="68">
        <f>'Payload Input'!$E$36</f>
        <v>35.41587809019633</v>
      </c>
      <c r="G10" s="147">
        <f>IF(('Misc Data'!$B$11=3),Anal_Input_5, 0)</f>
        <v>0</v>
      </c>
      <c r="H10" s="155">
        <f>I10/H13</f>
        <v>0</v>
      </c>
      <c r="I10" s="156">
        <f>IF(('Misc Data'!$B$11=4),Anal_Input_5, 0)</f>
        <v>0</v>
      </c>
      <c r="J10" s="39"/>
      <c r="K10" s="51" t="s">
        <v>1599</v>
      </c>
      <c r="L10" s="392">
        <f>D11</f>
        <v>34.727963844522719</v>
      </c>
      <c r="M10" s="39"/>
      <c r="N10" s="453" t="s">
        <v>882</v>
      </c>
      <c r="O10" s="54">
        <f>IF(O9&lt;=90,IF(90&lt;=O8,90,O8),O9)</f>
        <v>12.007227036004721</v>
      </c>
      <c r="Q10" s="31" t="s">
        <v>1914</v>
      </c>
      <c r="R10" s="31">
        <f>IF(Axis_Type&lt;&gt;2,D10,IF(Wrist_Down_Fix=1,L10,D11))</f>
        <v>35.41587809019633</v>
      </c>
    </row>
    <row r="11" spans="1:18" ht="14.1" customHeight="1">
      <c r="B11" s="14" t="s">
        <v>1915</v>
      </c>
      <c r="C11" s="72">
        <f>VLOOKUP($C$3,Table1,10)</f>
        <v>141.1</v>
      </c>
      <c r="D11" s="68">
        <f>HLOOKUP($C$4,$E$4:$H$12,8)</f>
        <v>34.727963844522719</v>
      </c>
      <c r="E11" s="68">
        <f>'Payload Input'!$E$37</f>
        <v>34.727963844522719</v>
      </c>
      <c r="F11" s="68">
        <f>'Payload Input'!$E$37</f>
        <v>34.727963844522719</v>
      </c>
      <c r="G11" s="147">
        <f>IF(('Misc Data'!$B$11=3),Anal_Input_6, 0)</f>
        <v>0</v>
      </c>
      <c r="H11" s="155">
        <f>I11/H13</f>
        <v>0</v>
      </c>
      <c r="I11" s="156">
        <f>IF(('Misc Data'!$B$11=4),Anal_Input_6, 0)</f>
        <v>0</v>
      </c>
      <c r="J11" s="39"/>
      <c r="K11" s="51" t="s">
        <v>1060</v>
      </c>
      <c r="L11" s="392">
        <f>D12</f>
        <v>8.4924227354221333</v>
      </c>
      <c r="M11" s="39"/>
      <c r="N11" s="151"/>
      <c r="Q11" s="31" t="s">
        <v>1915</v>
      </c>
      <c r="R11" s="31">
        <f>IF(Axis_Type&lt;&gt;2,D11,IF(Wrist_Down_Fix=1,L11,D12))</f>
        <v>34.727963844522719</v>
      </c>
    </row>
    <row r="12" spans="1:18" s="19" customFormat="1" ht="14.1" customHeight="1" thickBot="1">
      <c r="A12" s="5"/>
      <c r="B12" s="16" t="s">
        <v>554</v>
      </c>
      <c r="C12" s="73">
        <f>VLOOKUP($C$3,Table1,11)</f>
        <v>78.400000000000006</v>
      </c>
      <c r="D12" s="88">
        <f>HLOOKUP($C$4,$E$4:$H$12,9)</f>
        <v>8.4924227354221333</v>
      </c>
      <c r="E12" s="69">
        <f>'Payload Input'!$E$38</f>
        <v>8.4924227354221333</v>
      </c>
      <c r="F12" s="69">
        <f>'Payload Input'!$E$38</f>
        <v>8.4924227354221333</v>
      </c>
      <c r="G12" s="148">
        <f>IF(('Misc Data'!$B$11=3),Anal_Input_7, 0)</f>
        <v>0</v>
      </c>
      <c r="H12" s="157">
        <f>I12/H13</f>
        <v>0</v>
      </c>
      <c r="I12" s="158">
        <f>IF(('Misc Data'!$B$11=4),Anal_Input_7, 0)</f>
        <v>0</v>
      </c>
      <c r="J12" s="32"/>
      <c r="K12" s="53"/>
      <c r="L12" s="393"/>
      <c r="M12" s="5"/>
      <c r="N12" s="151"/>
      <c r="O12" s="5"/>
      <c r="P12" s="5"/>
      <c r="Q12" s="31" t="s">
        <v>554</v>
      </c>
      <c r="R12" s="31">
        <f>IF(Axis_Count=1,0,D12)</f>
        <v>8.4924227354221333</v>
      </c>
    </row>
    <row r="13" spans="1:18" ht="15.95" customHeight="1" thickBot="1">
      <c r="A13" s="4"/>
      <c r="B13" s="18" t="s">
        <v>3830</v>
      </c>
      <c r="C13" s="24"/>
      <c r="D13" s="20" t="s">
        <v>1790</v>
      </c>
      <c r="E13" s="152" t="s">
        <v>2762</v>
      </c>
      <c r="F13" s="19" t="s">
        <v>2617</v>
      </c>
      <c r="G13" s="19"/>
      <c r="H13" s="160">
        <v>10000</v>
      </c>
      <c r="I13" s="960" t="s">
        <v>1506</v>
      </c>
      <c r="J13" s="39"/>
      <c r="K13" s="19"/>
      <c r="L13" s="454"/>
      <c r="M13" s="19"/>
      <c r="N13" s="337"/>
      <c r="O13" s="400"/>
      <c r="Q13" s="21" t="s">
        <v>3830</v>
      </c>
    </row>
    <row r="14" spans="1:18" ht="14.1" customHeight="1" thickBot="1">
      <c r="B14" s="21" t="s">
        <v>748</v>
      </c>
      <c r="C14" s="63"/>
      <c r="D14" s="89" t="str">
        <f>IF(D34,(IF(D52,$C$80,$C$79)),$C$78)</f>
        <v>OK</v>
      </c>
      <c r="F14" s="400"/>
      <c r="H14" s="159" t="s">
        <v>2</v>
      </c>
      <c r="J14" s="39"/>
      <c r="K14" s="4"/>
      <c r="L14" s="151"/>
      <c r="O14" s="400"/>
      <c r="Q14" s="31" t="s">
        <v>748</v>
      </c>
      <c r="R14" s="959" t="str">
        <f>D14</f>
        <v>OK</v>
      </c>
    </row>
    <row r="15" spans="1:18" ht="14.1" customHeight="1">
      <c r="A15" s="19"/>
      <c r="B15" s="21" t="s">
        <v>348</v>
      </c>
      <c r="C15" s="15"/>
      <c r="D15" s="342" t="str">
        <f>IF(D38,(IF(D56,$C$80,$C$79)),$C$78)</f>
        <v>OK</v>
      </c>
      <c r="E15" s="401" t="str">
        <f>IF(E38,(IF(E56,$C$80,$C$79)),$C$78)</f>
        <v>OK</v>
      </c>
      <c r="F15" s="401" t="str">
        <f>IF(F38,(IF(F56,$C$80,$C$79)),$C$78)</f>
        <v>OK</v>
      </c>
      <c r="H15" s="48" t="s">
        <v>3122</v>
      </c>
      <c r="I15" s="458" t="str">
        <f>IF(I38,(IF(I56,$C$80,$C$79)),$C$78)</f>
        <v>OK</v>
      </c>
      <c r="J15" s="39"/>
      <c r="K15" s="4"/>
      <c r="L15" s="151"/>
      <c r="M15" s="400"/>
      <c r="O15" s="400"/>
      <c r="Q15" s="31" t="s">
        <v>348</v>
      </c>
      <c r="R15" s="959" t="str">
        <f>IF(OR(Anal_Robot_Code=10111,Anal_Robot_Code=10214,Anal_Robot_Code=10215),I15,IF(Wrist_Down_Fix=1,F15,IF(Axis_Count=1,E15,D15)))</f>
        <v>OK</v>
      </c>
    </row>
    <row r="16" spans="1:18" ht="14.1" customHeight="1">
      <c r="B16" s="21" t="s">
        <v>488</v>
      </c>
      <c r="C16" s="15"/>
      <c r="D16" s="342" t="str">
        <f>IF(D42,IF(D60,IF(D49,$C$80,$C$81),$C$79),$C$78)</f>
        <v>OK</v>
      </c>
      <c r="E16" s="402" t="str">
        <f>IF(E42,IF(E60,IF(E49,$C$80,$C$81),$C$79),$C$78)</f>
        <v>OK</v>
      </c>
      <c r="F16" s="402" t="str">
        <f>IF(F42,IF(F60,IF(F49,$C$80,$C$81),$C$79),$C$78)</f>
        <v>OK</v>
      </c>
      <c r="I16" s="151"/>
      <c r="J16" s="39"/>
      <c r="K16" s="4"/>
      <c r="L16" s="151"/>
      <c r="M16" s="400"/>
      <c r="O16" s="400"/>
      <c r="Q16" s="31" t="s">
        <v>488</v>
      </c>
      <c r="R16" s="959" t="str">
        <f>IF(Wrist_Down_Fix=1,F16,IF(Axis_Count=1,E16,D16))</f>
        <v>OK</v>
      </c>
    </row>
    <row r="17" spans="1:18" s="19" customFormat="1" ht="14.1" customHeight="1" thickBot="1">
      <c r="A17" s="5"/>
      <c r="B17" s="22" t="s">
        <v>489</v>
      </c>
      <c r="C17" s="17"/>
      <c r="D17" s="343" t="str">
        <f>IF(D43,IF(D61,$D$80,IF(D60,IF(D49,$D$80,$D$81),$D$79)),$D$78)</f>
        <v>OK</v>
      </c>
      <c r="E17" s="403" t="str">
        <f>IF(E43,IF(E61,$D$80,IF(E60,IF(E49,$D$80,$D$81),$D$79)),$D$78)</f>
        <v>OK</v>
      </c>
      <c r="F17" s="403" t="str">
        <f>IF(F43,IF(F61,$D$80,IF(F60,IF(F49,$D$80,$D$81),$D$79)),$D$78)</f>
        <v>OK</v>
      </c>
      <c r="G17" s="5"/>
      <c r="I17" s="458" t="str">
        <f>IF(I43,IF(I61,$D$80,IF(D60,IF(D49,$D$80,$D$81),$D$79)),$D$78)</f>
        <v>OK</v>
      </c>
      <c r="J17" s="39"/>
      <c r="K17" s="4"/>
      <c r="L17" s="151"/>
      <c r="M17" s="400"/>
      <c r="N17" s="5"/>
      <c r="O17" s="400"/>
      <c r="P17" s="5"/>
      <c r="Q17" s="31" t="s">
        <v>489</v>
      </c>
      <c r="R17" s="959" t="str">
        <f>IF(OR(Anal_Robot_Code=10111,Anal_Robot_Code=10214,Anal_Robot_Code=10215),I17,IF(Wrist_Down_Fix=1,F17,IF(Axis_Count=1,E17,D17)))</f>
        <v>OK</v>
      </c>
    </row>
    <row r="18" spans="1:18" s="4" customFormat="1" ht="14.1" customHeight="1" thickBot="1">
      <c r="B18" s="12"/>
      <c r="C18" s="23"/>
      <c r="D18" s="23"/>
      <c r="E18" s="5"/>
      <c r="F18" s="39"/>
      <c r="G18" s="5"/>
      <c r="H18" s="5"/>
      <c r="I18" s="151"/>
      <c r="J18" s="39"/>
      <c r="K18" s="5"/>
      <c r="L18" s="5"/>
      <c r="M18" s="5"/>
      <c r="N18" s="416"/>
      <c r="O18" s="400"/>
      <c r="P18" s="5"/>
      <c r="Q18" s="5"/>
      <c r="R18" s="5"/>
    </row>
    <row r="19" spans="1:18" ht="15.95" customHeight="1" thickBot="1">
      <c r="B19" s="18" t="s">
        <v>638</v>
      </c>
      <c r="C19" s="24"/>
      <c r="D19" s="90"/>
      <c r="F19" s="39"/>
      <c r="I19" s="151"/>
      <c r="J19" s="39"/>
      <c r="O19" s="457"/>
      <c r="Q19" s="21" t="s">
        <v>638</v>
      </c>
    </row>
    <row r="20" spans="1:18" ht="15.95" customHeight="1" thickBot="1">
      <c r="B20" s="25" t="s">
        <v>310</v>
      </c>
      <c r="C20" s="24"/>
      <c r="D20" s="323">
        <f>IF(Payload_lim_J3=0,"N/A",ROUNDUP(D6/Payload_lim_J3*100,1))</f>
        <v>53.300000000000004</v>
      </c>
      <c r="F20" s="39"/>
      <c r="I20" s="151"/>
      <c r="J20" s="39"/>
      <c r="K20" s="35"/>
      <c r="L20" s="400"/>
      <c r="M20" s="39"/>
      <c r="O20" s="400"/>
      <c r="Q20" s="31" t="s">
        <v>310</v>
      </c>
      <c r="R20" s="387">
        <f>D20</f>
        <v>53.300000000000004</v>
      </c>
    </row>
    <row r="21" spans="1:18" ht="14.1" customHeight="1">
      <c r="A21" s="19"/>
      <c r="B21" s="27" t="s">
        <v>3461</v>
      </c>
      <c r="C21" s="28"/>
      <c r="D21" s="324"/>
      <c r="E21" s="337"/>
      <c r="F21" s="399"/>
      <c r="G21" s="337"/>
      <c r="H21" s="337"/>
      <c r="I21" s="415"/>
      <c r="J21" s="399"/>
      <c r="K21" s="35"/>
      <c r="L21" s="399"/>
      <c r="M21" s="399"/>
      <c r="N21" s="337"/>
      <c r="O21" s="400"/>
      <c r="P21" s="337"/>
      <c r="Q21" s="394" t="s">
        <v>2809</v>
      </c>
      <c r="R21" s="395"/>
    </row>
    <row r="22" spans="1:18" ht="14.1" customHeight="1">
      <c r="A22" s="4"/>
      <c r="B22" s="14" t="s">
        <v>490</v>
      </c>
      <c r="C22" s="65"/>
      <c r="D22" s="340">
        <f>TRUNC(D7/$C$7*100,0)</f>
        <v>36</v>
      </c>
      <c r="E22" s="341">
        <f>TRUNC(D8/$C$7*100,0)</f>
        <v>36</v>
      </c>
      <c r="F22" s="341">
        <f>TRUNC(L7/$C$7*100,0)</f>
        <v>7</v>
      </c>
      <c r="G22" s="39"/>
      <c r="H22" s="39"/>
      <c r="I22" s="458" t="s">
        <v>493</v>
      </c>
      <c r="J22" s="39"/>
      <c r="K22" s="39"/>
      <c r="L22" s="455"/>
      <c r="M22" s="39"/>
      <c r="N22" s="337"/>
      <c r="O22" s="400"/>
      <c r="P22" s="39"/>
      <c r="Q22" s="55" t="s">
        <v>490</v>
      </c>
      <c r="R22" s="397">
        <f>IF(OR(Anal_Robot_Code=10111,Anal_Robot_Code=10214,Anal_Robot_Code=10215),I22,IF(Axis_Type&lt;&gt;2,D22,IF(Wrist_Down_Fix=1,F22,E22)))</f>
        <v>36</v>
      </c>
    </row>
    <row r="23" spans="1:18" s="4" customFormat="1" ht="14.1" customHeight="1">
      <c r="A23" s="5"/>
      <c r="B23" s="14" t="s">
        <v>491</v>
      </c>
      <c r="C23" s="65"/>
      <c r="D23" s="340">
        <f>IF(Wrist_Down_Fix=1,IF(C8&lt;D8,101,0),TRUNC(D8/$C$8*100,0))</f>
        <v>36</v>
      </c>
      <c r="E23" s="341">
        <f>TRUNC(D9/$C$8*100,0)</f>
        <v>7</v>
      </c>
      <c r="F23" s="341">
        <v>0</v>
      </c>
      <c r="G23" s="458" t="str">
        <f>IF(D23=0,"-","∞")</f>
        <v>∞</v>
      </c>
      <c r="H23" s="39"/>
      <c r="I23" s="39"/>
      <c r="J23" s="39"/>
      <c r="K23" s="39"/>
      <c r="L23" s="455"/>
      <c r="M23" s="39"/>
      <c r="N23" s="39"/>
      <c r="O23" s="400"/>
      <c r="P23" s="39"/>
      <c r="Q23" s="56" t="s">
        <v>491</v>
      </c>
      <c r="R23" s="459">
        <f>IF(Axis_Type&lt;&gt;2,IF(Wrist_Down_Fix=1,G23,D23),IF(Wrist_Down_Fix=1,F23,E23))</f>
        <v>36</v>
      </c>
    </row>
    <row r="24" spans="1:18" ht="14.1" customHeight="1" thickBot="1">
      <c r="B24" s="16" t="s">
        <v>492</v>
      </c>
      <c r="C24" s="66"/>
      <c r="D24" s="323">
        <f>TRUNC(D9/$C$9*100,0)</f>
        <v>14</v>
      </c>
      <c r="F24" s="39"/>
      <c r="G24" s="39"/>
      <c r="H24" s="39"/>
      <c r="I24" s="39"/>
      <c r="J24" s="39"/>
      <c r="K24" s="39"/>
      <c r="L24" s="455"/>
      <c r="M24" s="39"/>
      <c r="N24" s="414"/>
      <c r="O24" s="400"/>
      <c r="P24" s="39"/>
      <c r="Q24" s="48" t="s">
        <v>492</v>
      </c>
      <c r="R24" s="397">
        <f>IF(Axis_Count=1,0,D24)</f>
        <v>14</v>
      </c>
    </row>
    <row r="25" spans="1:18" ht="14.1" customHeight="1">
      <c r="A25" s="4"/>
      <c r="B25" s="27" t="s">
        <v>451</v>
      </c>
      <c r="C25" s="28"/>
      <c r="D25" s="324"/>
      <c r="F25" s="39"/>
      <c r="G25" s="39"/>
      <c r="H25" s="39"/>
      <c r="I25" s="39"/>
      <c r="J25" s="39"/>
      <c r="K25" s="35"/>
      <c r="L25" s="39"/>
      <c r="M25" s="39"/>
      <c r="N25" s="39"/>
      <c r="O25" s="400"/>
      <c r="P25" s="39"/>
      <c r="Q25" s="394" t="s">
        <v>869</v>
      </c>
      <c r="R25" s="396"/>
    </row>
    <row r="26" spans="1:18" ht="14.1" customHeight="1">
      <c r="A26" s="4"/>
      <c r="B26" s="14" t="s">
        <v>490</v>
      </c>
      <c r="C26" s="65">
        <f>ROUND(C10/$G73*100,)</f>
        <v>74</v>
      </c>
      <c r="D26" s="340">
        <f>ROUNDUP(D10/$C10*100,1)</f>
        <v>25.1</v>
      </c>
      <c r="E26" s="341">
        <f>ROUNDUP(D11/$C10*100,1)</f>
        <v>24.700000000000003</v>
      </c>
      <c r="F26" s="341">
        <f>ROUNDUP(L10/$C$10*100,1)</f>
        <v>24.700000000000003</v>
      </c>
      <c r="G26" s="39"/>
      <c r="H26" s="39"/>
      <c r="I26" s="39"/>
      <c r="J26" s="39"/>
      <c r="K26" s="39"/>
      <c r="L26" s="455"/>
      <c r="M26" s="39"/>
      <c r="N26" s="39"/>
      <c r="O26" s="400"/>
      <c r="P26" s="39"/>
      <c r="Q26" s="55" t="s">
        <v>490</v>
      </c>
      <c r="R26" s="397">
        <f>IF(Axis_Type&lt;&gt;2,D26,IF(Wrist_Down_Fix=1,F26,E26))</f>
        <v>25.1</v>
      </c>
    </row>
    <row r="27" spans="1:18" ht="14.1" customHeight="1">
      <c r="B27" s="14" t="s">
        <v>491</v>
      </c>
      <c r="C27" s="65">
        <f>ROUND(C11/$G74*100,)</f>
        <v>66</v>
      </c>
      <c r="D27" s="340">
        <f>ROUNDUP(D11/$C11*100,1)</f>
        <v>24.700000000000003</v>
      </c>
      <c r="E27" s="341">
        <f>ROUNDUP(D12/$C11*100,1)</f>
        <v>6.1</v>
      </c>
      <c r="F27" s="341">
        <f>ROUNDUP(L11/$C11*100,1)</f>
        <v>6.1</v>
      </c>
      <c r="G27" s="39"/>
      <c r="H27" s="39"/>
      <c r="I27" s="39"/>
      <c r="J27" s="39"/>
      <c r="K27" s="39"/>
      <c r="L27" s="455"/>
      <c r="M27" s="39"/>
      <c r="N27" s="39"/>
      <c r="O27" s="400"/>
      <c r="P27" s="39"/>
      <c r="Q27" s="56" t="s">
        <v>491</v>
      </c>
      <c r="R27" s="397">
        <f>IF(Axis_Type&lt;&gt;2,D27,IF(Wrist_Down_Fix=1,F27,E27))</f>
        <v>24.700000000000003</v>
      </c>
    </row>
    <row r="28" spans="1:18" s="19" customFormat="1" ht="14.1" customHeight="1" thickBot="1">
      <c r="A28" s="5"/>
      <c r="B28" s="16" t="s">
        <v>492</v>
      </c>
      <c r="C28" s="66">
        <f>ROUND(C12/$G75*100,)</f>
        <v>76</v>
      </c>
      <c r="D28" s="323">
        <f>ROUNDUP(D12/$C12*100,1)</f>
        <v>10.9</v>
      </c>
      <c r="E28" s="5"/>
      <c r="F28" s="39"/>
      <c r="G28" s="5"/>
      <c r="H28" s="5"/>
      <c r="I28" s="5"/>
      <c r="J28" s="39"/>
      <c r="K28" s="39"/>
      <c r="L28" s="455"/>
      <c r="M28" s="39"/>
      <c r="N28" s="5"/>
      <c r="O28" s="5"/>
      <c r="P28" s="5"/>
      <c r="Q28" s="48" t="s">
        <v>492</v>
      </c>
      <c r="R28" s="398">
        <f>IF(Axis_Count=1,0,D28)</f>
        <v>10.9</v>
      </c>
    </row>
    <row r="29" spans="1:18" s="19" customFormat="1" ht="14.1" customHeight="1" thickBot="1">
      <c r="A29" s="5"/>
      <c r="B29" s="5"/>
      <c r="C29" s="5"/>
      <c r="D29" s="5"/>
      <c r="E29" s="5"/>
      <c r="F29" s="39"/>
      <c r="G29" s="5"/>
      <c r="H29" s="5"/>
      <c r="I29" s="5"/>
      <c r="J29" s="39"/>
      <c r="K29" s="39"/>
      <c r="L29" s="39"/>
      <c r="M29" s="39"/>
      <c r="N29" s="5"/>
      <c r="O29" s="5"/>
      <c r="P29" s="5"/>
      <c r="Q29" s="5"/>
      <c r="R29" s="5"/>
    </row>
    <row r="30" spans="1:18" s="19" customFormat="1" ht="14.1" customHeight="1" thickBot="1">
      <c r="A30" s="5"/>
      <c r="B30" s="29" t="s">
        <v>3010</v>
      </c>
      <c r="C30" s="26"/>
      <c r="D30" s="5"/>
      <c r="E30" s="5"/>
      <c r="F30" s="39"/>
      <c r="G30" s="5"/>
      <c r="H30" s="5"/>
      <c r="I30" s="5"/>
      <c r="J30" s="39"/>
      <c r="K30" s="5"/>
      <c r="L30" s="5"/>
      <c r="M30" s="5"/>
      <c r="N30" s="5"/>
      <c r="O30" s="5"/>
      <c r="P30" s="5"/>
      <c r="Q30" s="5"/>
      <c r="R30" s="5"/>
    </row>
    <row r="31" spans="1:18" s="19" customFormat="1" ht="14.1" customHeight="1" thickBot="1">
      <c r="A31" s="5"/>
      <c r="B31" s="30" t="s">
        <v>442</v>
      </c>
      <c r="C31" s="64">
        <v>90</v>
      </c>
      <c r="D31" s="5"/>
      <c r="E31" s="5"/>
      <c r="F31" s="39"/>
      <c r="G31" s="5"/>
      <c r="H31" s="5"/>
      <c r="I31" s="5"/>
      <c r="J31" s="39"/>
      <c r="K31" s="5"/>
      <c r="L31" s="5"/>
      <c r="M31" s="5"/>
      <c r="N31" s="5"/>
      <c r="O31" s="5"/>
      <c r="P31" s="5"/>
      <c r="Q31" s="5"/>
      <c r="R31" s="5"/>
    </row>
    <row r="32" spans="1:18" s="4" customFormat="1" ht="14.1" customHeight="1">
      <c r="B32" s="5"/>
      <c r="C32" s="5"/>
      <c r="D32" s="5"/>
      <c r="E32" s="5"/>
      <c r="F32" s="39"/>
      <c r="G32" s="5"/>
      <c r="H32" s="5"/>
      <c r="I32" s="5"/>
      <c r="J32" s="39"/>
      <c r="K32" s="5"/>
      <c r="L32" s="5"/>
      <c r="M32" s="5"/>
      <c r="N32" s="5"/>
      <c r="O32" s="5"/>
      <c r="P32" s="5"/>
      <c r="Q32" s="5"/>
      <c r="R32" s="5"/>
    </row>
    <row r="33" spans="2:18" s="4" customFormat="1" ht="14.1" customHeight="1">
      <c r="B33" s="62" t="s">
        <v>3451</v>
      </c>
      <c r="C33" s="5"/>
      <c r="D33" s="5"/>
      <c r="E33" s="5"/>
      <c r="F33" s="39"/>
      <c r="G33" s="5"/>
      <c r="H33" s="5"/>
      <c r="I33" s="5"/>
      <c r="J33" s="39"/>
      <c r="L33" s="5"/>
      <c r="M33" s="5"/>
      <c r="N33" s="5"/>
      <c r="O33" s="5"/>
      <c r="P33" s="5"/>
      <c r="Q33" s="5"/>
      <c r="R33" s="5"/>
    </row>
    <row r="34" spans="2:18" s="4" customFormat="1" ht="27" customHeight="1">
      <c r="B34" s="451" t="s">
        <v>3809</v>
      </c>
      <c r="C34" s="31"/>
      <c r="D34" s="71" t="b">
        <f>D20&gt;$C$31</f>
        <v>0</v>
      </c>
      <c r="E34" s="5"/>
      <c r="F34" s="39"/>
      <c r="G34" s="5"/>
      <c r="H34" s="5"/>
      <c r="I34" s="5"/>
      <c r="J34" s="39"/>
      <c r="K34" s="456"/>
      <c r="L34" s="5"/>
      <c r="M34" s="5"/>
      <c r="N34" s="5"/>
      <c r="O34" s="5"/>
      <c r="P34" s="5"/>
      <c r="Q34" s="5"/>
      <c r="R34" s="5"/>
    </row>
    <row r="35" spans="2:18" s="4" customFormat="1" ht="14.1" customHeight="1">
      <c r="B35" s="55" t="s">
        <v>2309</v>
      </c>
      <c r="C35" s="55" t="s">
        <v>2310</v>
      </c>
      <c r="D35" s="71" t="b">
        <f t="shared" ref="D35:F36" si="0">D22&gt;$C$31</f>
        <v>0</v>
      </c>
      <c r="E35" s="344" t="b">
        <f t="shared" si="0"/>
        <v>0</v>
      </c>
      <c r="F35" s="344" t="b">
        <f t="shared" si="0"/>
        <v>0</v>
      </c>
      <c r="G35" s="5"/>
      <c r="H35" s="5"/>
      <c r="I35" s="5"/>
      <c r="J35" s="39"/>
      <c r="K35" s="5"/>
      <c r="L35" s="5"/>
      <c r="M35" s="39"/>
      <c r="N35" s="5"/>
      <c r="O35" s="5"/>
      <c r="P35" s="5"/>
      <c r="Q35" s="5"/>
      <c r="R35" s="5"/>
    </row>
    <row r="36" spans="2:18" s="4" customFormat="1" ht="14.1" customHeight="1">
      <c r="B36" s="56" t="s">
        <v>1098</v>
      </c>
      <c r="C36" s="55" t="s">
        <v>303</v>
      </c>
      <c r="D36" s="71" t="b">
        <f t="shared" si="0"/>
        <v>0</v>
      </c>
      <c r="E36" s="344" t="b">
        <f t="shared" si="0"/>
        <v>0</v>
      </c>
      <c r="F36" s="344" t="b">
        <f t="shared" si="0"/>
        <v>0</v>
      </c>
      <c r="G36" s="5"/>
      <c r="H36" s="5"/>
      <c r="I36" s="5"/>
      <c r="J36" s="39"/>
      <c r="K36" s="5"/>
      <c r="L36" s="5"/>
      <c r="M36" s="39"/>
      <c r="N36" s="5"/>
      <c r="O36" s="5"/>
      <c r="P36" s="5"/>
      <c r="Q36" s="5"/>
      <c r="R36" s="5"/>
    </row>
    <row r="37" spans="2:18" s="4" customFormat="1" ht="14.1" customHeight="1">
      <c r="B37" s="56"/>
      <c r="C37" s="55" t="s">
        <v>304</v>
      </c>
      <c r="D37" s="71" t="b">
        <f>D24&gt;$C$31</f>
        <v>0</v>
      </c>
      <c r="E37" s="5"/>
      <c r="F37" s="39"/>
      <c r="G37" s="5"/>
      <c r="H37" s="5"/>
      <c r="I37" s="5"/>
      <c r="J37" s="39"/>
      <c r="K37" s="5"/>
      <c r="L37" s="5"/>
      <c r="M37" s="39"/>
      <c r="N37" s="5"/>
      <c r="O37" s="5"/>
      <c r="P37" s="5"/>
      <c r="Q37" s="5"/>
      <c r="R37" s="5"/>
    </row>
    <row r="38" spans="2:18" s="4" customFormat="1" ht="14.1" customHeight="1">
      <c r="B38" s="48"/>
      <c r="C38" s="55" t="s">
        <v>2453</v>
      </c>
      <c r="D38" s="71" t="b">
        <f>OR(D35:D37)</f>
        <v>0</v>
      </c>
      <c r="E38" s="341" t="b">
        <f>IF(Axis_Type=2,OR(E35:E36),OR(D35:D36))</f>
        <v>0</v>
      </c>
      <c r="F38" s="341" t="b">
        <f>IF(Axis_Type=2,OR(F35:F36),OR(D35:D36))</f>
        <v>0</v>
      </c>
      <c r="G38" s="5"/>
      <c r="H38" s="5"/>
      <c r="I38" s="341" t="b">
        <f>OR(D36:D37)</f>
        <v>0</v>
      </c>
      <c r="J38" s="39"/>
      <c r="K38" s="5"/>
      <c r="L38" s="5"/>
      <c r="M38" s="39"/>
      <c r="N38" s="5"/>
      <c r="O38" s="5"/>
      <c r="P38" s="5"/>
      <c r="Q38" s="5"/>
      <c r="R38" s="5"/>
    </row>
    <row r="39" spans="2:18" s="4" customFormat="1" ht="14.1" customHeight="1">
      <c r="B39" s="55" t="s">
        <v>155</v>
      </c>
      <c r="C39" s="31" t="s">
        <v>1219</v>
      </c>
      <c r="D39" s="71" t="b">
        <f t="shared" ref="D39:F40" si="1">D26&gt;$C$31</f>
        <v>0</v>
      </c>
      <c r="E39" s="344" t="b">
        <f t="shared" si="1"/>
        <v>0</v>
      </c>
      <c r="F39" s="341" t="b">
        <f t="shared" si="1"/>
        <v>0</v>
      </c>
      <c r="G39" s="5"/>
      <c r="H39" s="5"/>
      <c r="I39" s="5"/>
      <c r="J39" s="39"/>
      <c r="K39" s="5"/>
      <c r="L39" s="5"/>
      <c r="M39" s="39"/>
      <c r="N39" s="5"/>
      <c r="O39" s="5"/>
      <c r="P39" s="5"/>
      <c r="Q39" s="5"/>
      <c r="R39" s="5"/>
    </row>
    <row r="40" spans="2:18" s="4" customFormat="1" ht="14.1" customHeight="1">
      <c r="B40" s="56" t="s">
        <v>1098</v>
      </c>
      <c r="C40" s="31" t="s">
        <v>2929</v>
      </c>
      <c r="D40" s="71" t="b">
        <f t="shared" si="1"/>
        <v>0</v>
      </c>
      <c r="E40" s="344" t="b">
        <f t="shared" si="1"/>
        <v>0</v>
      </c>
      <c r="F40" s="341" t="b">
        <f t="shared" si="1"/>
        <v>0</v>
      </c>
      <c r="G40" s="5"/>
      <c r="H40" s="5"/>
      <c r="I40" s="5"/>
      <c r="J40" s="39"/>
      <c r="K40" s="5"/>
      <c r="L40" s="5"/>
      <c r="M40" s="39"/>
      <c r="N40" s="5"/>
      <c r="O40" s="5"/>
      <c r="P40" s="5"/>
      <c r="Q40" s="5"/>
      <c r="R40" s="5"/>
    </row>
    <row r="41" spans="2:18" s="4" customFormat="1" ht="14.1" customHeight="1">
      <c r="B41" s="56"/>
      <c r="C41" s="31" t="s">
        <v>2930</v>
      </c>
      <c r="D41" s="71" t="b">
        <f>D28&gt;$C$31</f>
        <v>0</v>
      </c>
      <c r="E41" s="5"/>
      <c r="F41" s="5"/>
      <c r="G41" s="5"/>
      <c r="H41" s="5"/>
      <c r="I41" s="5"/>
      <c r="J41" s="39"/>
      <c r="K41" s="5"/>
      <c r="L41" s="5"/>
      <c r="M41" s="39"/>
      <c r="N41" s="5"/>
      <c r="O41" s="5"/>
      <c r="P41" s="5"/>
      <c r="Q41" s="5"/>
      <c r="R41" s="5"/>
    </row>
    <row r="42" spans="2:18" s="4" customFormat="1" ht="14.1" customHeight="1">
      <c r="B42" s="48"/>
      <c r="C42" s="31" t="s">
        <v>2542</v>
      </c>
      <c r="D42" s="71" t="b">
        <f>OR(D39:D41)</f>
        <v>0</v>
      </c>
      <c r="E42" s="341" t="b">
        <f>IF(Axis_Type=2,OR(E39:E40),OR(D39:D40))</f>
        <v>0</v>
      </c>
      <c r="F42" s="341" t="b">
        <f>IF(Axis_Type=2,OR(F39:F40),OR(D39:D40))</f>
        <v>0</v>
      </c>
      <c r="G42" s="5"/>
      <c r="H42" s="5"/>
      <c r="I42" s="5"/>
      <c r="J42" s="39"/>
      <c r="K42" s="5"/>
      <c r="L42" s="5"/>
      <c r="M42" s="39"/>
      <c r="N42" s="5"/>
      <c r="O42" s="5"/>
      <c r="P42" s="5"/>
      <c r="Q42" s="5"/>
      <c r="R42" s="5"/>
    </row>
    <row r="43" spans="2:18" s="4" customFormat="1" ht="14.1" customHeight="1">
      <c r="B43" s="31" t="s">
        <v>1007</v>
      </c>
      <c r="C43" s="31"/>
      <c r="D43" s="71" t="b">
        <f>OR(D34,D38,D42)</f>
        <v>0</v>
      </c>
      <c r="E43" s="341" t="b">
        <f>OR(D34,E38,E42)</f>
        <v>0</v>
      </c>
      <c r="F43" s="341" t="b">
        <f>OR(D34,F38,F42)</f>
        <v>0</v>
      </c>
      <c r="G43" s="5"/>
      <c r="H43" s="5"/>
      <c r="I43" s="341" t="b">
        <f>OR(D34,I38,D42)</f>
        <v>0</v>
      </c>
      <c r="J43" s="39"/>
      <c r="K43" s="5"/>
      <c r="L43" s="5"/>
      <c r="M43" s="39"/>
      <c r="N43" s="5"/>
      <c r="O43" s="5"/>
      <c r="P43" s="5"/>
      <c r="Q43" s="5"/>
      <c r="R43" s="5"/>
    </row>
    <row r="44" spans="2:18" s="4" customFormat="1" ht="13.5" customHeight="1">
      <c r="B44" s="5"/>
      <c r="C44" s="5"/>
      <c r="D44" s="5"/>
      <c r="E44" s="5"/>
      <c r="F44" s="39"/>
      <c r="G44" s="5"/>
      <c r="H44" s="5"/>
      <c r="I44" s="5"/>
      <c r="J44" s="39"/>
      <c r="K44" s="5"/>
      <c r="L44" s="5"/>
      <c r="M44" s="39"/>
      <c r="N44" s="5"/>
      <c r="O44" s="5"/>
      <c r="P44" s="5"/>
      <c r="Q44" s="5"/>
      <c r="R44" s="5"/>
    </row>
    <row r="45" spans="2:18" s="4" customFormat="1" ht="14.1" customHeight="1">
      <c r="B45" s="62" t="s">
        <v>1097</v>
      </c>
      <c r="C45" s="5"/>
      <c r="D45" s="5"/>
      <c r="E45" s="5"/>
      <c r="F45" s="39"/>
      <c r="G45" s="5"/>
      <c r="H45" s="5"/>
      <c r="I45" s="5"/>
      <c r="J45" s="39"/>
      <c r="L45" s="5"/>
      <c r="M45" s="39"/>
      <c r="N45" s="5"/>
      <c r="O45" s="5"/>
      <c r="P45" s="5"/>
      <c r="Q45" s="5"/>
      <c r="R45" s="5"/>
    </row>
    <row r="46" spans="2:18" s="4" customFormat="1" ht="14.1" customHeight="1">
      <c r="B46" s="55" t="s">
        <v>437</v>
      </c>
      <c r="C46" s="31" t="s">
        <v>673</v>
      </c>
      <c r="D46" s="71" t="b">
        <f>D10&gt;$G$73</f>
        <v>0</v>
      </c>
      <c r="E46" s="344" t="b">
        <f>D11&gt;$G$73</f>
        <v>0</v>
      </c>
      <c r="F46" s="341" t="b">
        <f>L10&gt;$G$73</f>
        <v>0</v>
      </c>
      <c r="G46" s="5"/>
      <c r="H46" s="5"/>
      <c r="I46" s="5"/>
      <c r="J46" s="39"/>
      <c r="K46" s="5"/>
      <c r="L46" s="5"/>
      <c r="M46" s="39"/>
      <c r="N46" s="5"/>
      <c r="O46" s="5"/>
      <c r="P46" s="5"/>
      <c r="Q46" s="5"/>
      <c r="R46" s="5"/>
    </row>
    <row r="47" spans="2:18" s="4" customFormat="1" ht="14.1" customHeight="1">
      <c r="B47" s="56"/>
      <c r="C47" s="31" t="s">
        <v>674</v>
      </c>
      <c r="D47" s="71" t="b">
        <f>D11&gt;$G$74</f>
        <v>0</v>
      </c>
      <c r="E47" s="344" t="b">
        <f>D12&gt;$G$74</f>
        <v>0</v>
      </c>
      <c r="F47" s="341" t="b">
        <f>L11&gt;$G$74</f>
        <v>0</v>
      </c>
      <c r="G47" s="5"/>
      <c r="H47" s="5"/>
      <c r="I47" s="5"/>
      <c r="J47" s="39"/>
      <c r="K47" s="5"/>
      <c r="L47" s="5"/>
      <c r="M47" s="39"/>
      <c r="N47" s="5"/>
      <c r="O47" s="5"/>
      <c r="P47" s="5"/>
      <c r="Q47" s="5"/>
      <c r="R47" s="5"/>
    </row>
    <row r="48" spans="2:18" s="4" customFormat="1" ht="14.1" customHeight="1">
      <c r="B48" s="56"/>
      <c r="C48" s="31" t="s">
        <v>316</v>
      </c>
      <c r="D48" s="71" t="b">
        <f>D12&gt;$G$75</f>
        <v>0</v>
      </c>
      <c r="E48" s="5"/>
      <c r="F48" s="39"/>
      <c r="G48" s="5"/>
      <c r="H48" s="5"/>
      <c r="I48" s="5"/>
      <c r="J48" s="39"/>
      <c r="K48" s="5"/>
      <c r="L48" s="5"/>
      <c r="M48" s="39"/>
      <c r="N48" s="5"/>
      <c r="O48" s="5"/>
      <c r="P48" s="5"/>
      <c r="Q48" s="5"/>
      <c r="R48" s="5"/>
    </row>
    <row r="49" spans="1:18" s="4" customFormat="1" ht="14.1" customHeight="1">
      <c r="B49" s="48"/>
      <c r="C49" s="31" t="s">
        <v>317</v>
      </c>
      <c r="D49" s="71" t="b">
        <f>OR(D46:D48)</f>
        <v>0</v>
      </c>
      <c r="E49" s="341" t="b">
        <f>IF(Axis_Type=2,OR(E46:E47),OR(D46:D47))</f>
        <v>0</v>
      </c>
      <c r="F49" s="341" t="b">
        <f>IF(Axis_Type=2,OR(F46:F47),OR(D46:D47))</f>
        <v>0</v>
      </c>
      <c r="G49" s="5"/>
      <c r="H49" s="5"/>
      <c r="I49" s="5"/>
      <c r="J49" s="39"/>
      <c r="K49" s="5"/>
      <c r="L49" s="5"/>
      <c r="M49" s="39"/>
      <c r="N49" s="5"/>
      <c r="O49" s="5"/>
      <c r="P49" s="5"/>
      <c r="Q49" s="5"/>
      <c r="R49" s="5"/>
    </row>
    <row r="50" spans="1:18" s="4" customFormat="1" ht="13.5" customHeight="1">
      <c r="B50" s="5"/>
      <c r="C50" s="5"/>
      <c r="D50" s="5"/>
      <c r="E50" s="5"/>
      <c r="F50" s="39"/>
      <c r="G50" s="5"/>
      <c r="H50" s="5"/>
      <c r="I50" s="5"/>
      <c r="J50" s="39"/>
      <c r="K50" s="5"/>
      <c r="L50" s="5"/>
      <c r="M50" s="39"/>
      <c r="N50" s="5"/>
      <c r="O50" s="5"/>
      <c r="P50" s="5"/>
      <c r="Q50" s="5"/>
      <c r="R50" s="5"/>
    </row>
    <row r="51" spans="1:18" s="4" customFormat="1" ht="14.1" customHeight="1">
      <c r="B51" s="62" t="s">
        <v>529</v>
      </c>
      <c r="C51" s="5"/>
      <c r="D51" s="5"/>
      <c r="E51" s="5"/>
      <c r="F51" s="39"/>
      <c r="G51" s="5"/>
      <c r="H51" s="5"/>
      <c r="I51" s="5"/>
      <c r="J51" s="39"/>
      <c r="L51" s="5"/>
      <c r="M51" s="39"/>
      <c r="N51" s="5"/>
      <c r="O51" s="5"/>
      <c r="P51" s="5"/>
      <c r="Q51" s="5"/>
      <c r="R51" s="5"/>
    </row>
    <row r="52" spans="1:18" s="4" customFormat="1" ht="14.1" customHeight="1">
      <c r="B52" s="31" t="s">
        <v>1087</v>
      </c>
      <c r="C52" s="31" t="s">
        <v>1701</v>
      </c>
      <c r="D52" s="71" t="b">
        <f>D20&gt;100</f>
        <v>0</v>
      </c>
      <c r="E52" s="5"/>
      <c r="F52" s="39"/>
      <c r="G52" s="5"/>
      <c r="H52" s="5"/>
      <c r="I52" s="5"/>
      <c r="J52" s="39"/>
      <c r="K52" s="39"/>
      <c r="L52" s="5"/>
      <c r="M52" s="39"/>
      <c r="N52" s="5"/>
      <c r="O52" s="5"/>
      <c r="P52" s="5"/>
      <c r="Q52" s="5"/>
      <c r="R52" s="5"/>
    </row>
    <row r="53" spans="1:18" s="4" customFormat="1" ht="14.1" customHeight="1">
      <c r="B53" s="55" t="s">
        <v>3811</v>
      </c>
      <c r="C53" s="31" t="s">
        <v>954</v>
      </c>
      <c r="D53" s="71" t="b">
        <f t="shared" ref="D53:F54" si="2">D22&gt;100</f>
        <v>0</v>
      </c>
      <c r="E53" s="344" t="b">
        <f t="shared" si="2"/>
        <v>0</v>
      </c>
      <c r="F53" s="344" t="b">
        <f t="shared" si="2"/>
        <v>0</v>
      </c>
      <c r="G53" s="5"/>
      <c r="H53" s="5"/>
      <c r="I53" s="5"/>
      <c r="J53" s="39"/>
      <c r="K53" s="5"/>
      <c r="L53" s="5"/>
      <c r="M53" s="39"/>
      <c r="N53" s="5"/>
      <c r="O53" s="5"/>
      <c r="P53" s="5"/>
      <c r="Q53" s="5"/>
      <c r="R53" s="5"/>
    </row>
    <row r="54" spans="1:18" s="4" customFormat="1" ht="14.1" customHeight="1">
      <c r="B54" s="56" t="s">
        <v>3810</v>
      </c>
      <c r="C54" s="31" t="s">
        <v>955</v>
      </c>
      <c r="D54" s="71" t="b">
        <f t="shared" si="2"/>
        <v>0</v>
      </c>
      <c r="E54" s="344" t="b">
        <f t="shared" si="2"/>
        <v>0</v>
      </c>
      <c r="F54" s="344" t="b">
        <f t="shared" si="2"/>
        <v>0</v>
      </c>
      <c r="G54" s="5"/>
      <c r="H54" s="5"/>
      <c r="I54" s="5"/>
      <c r="J54" s="39"/>
      <c r="K54" s="5"/>
      <c r="L54" s="5"/>
      <c r="M54" s="39"/>
      <c r="N54" s="5"/>
      <c r="O54" s="5"/>
      <c r="P54" s="5"/>
      <c r="Q54" s="5"/>
      <c r="R54" s="5"/>
    </row>
    <row r="55" spans="1:18" s="4" customFormat="1" ht="14.1" customHeight="1">
      <c r="B55" s="56"/>
      <c r="C55" s="31" t="s">
        <v>853</v>
      </c>
      <c r="D55" s="71" t="b">
        <f>D24&gt;100</f>
        <v>0</v>
      </c>
      <c r="E55" s="5"/>
      <c r="F55" s="39"/>
      <c r="G55" s="5"/>
      <c r="H55" s="5"/>
      <c r="I55" s="5"/>
      <c r="J55" s="39"/>
      <c r="K55" s="5"/>
      <c r="L55" s="5"/>
      <c r="M55" s="39"/>
      <c r="N55" s="5"/>
      <c r="O55" s="5"/>
      <c r="P55" s="5"/>
      <c r="Q55" s="5"/>
      <c r="R55" s="5"/>
    </row>
    <row r="56" spans="1:18" s="4" customFormat="1" ht="14.1" customHeight="1">
      <c r="B56" s="48"/>
      <c r="C56" s="31" t="s">
        <v>672</v>
      </c>
      <c r="D56" s="71" t="b">
        <f>OR(D53:D55)</f>
        <v>0</v>
      </c>
      <c r="E56" s="341" t="b">
        <f>IF(Axis_Type=2,OR(E53:E54),OR(D53:D54))</f>
        <v>0</v>
      </c>
      <c r="F56" s="341" t="b">
        <f>IF(Axis_Type=2,OR(F53:F54),OR(D53:D54))</f>
        <v>0</v>
      </c>
      <c r="G56" s="5"/>
      <c r="H56" s="5"/>
      <c r="I56" s="341" t="b">
        <f>OR(D54:D55)</f>
        <v>0</v>
      </c>
      <c r="J56" s="39"/>
      <c r="K56" s="5"/>
      <c r="L56" s="5"/>
      <c r="M56" s="39"/>
      <c r="N56" s="5"/>
      <c r="O56" s="5"/>
      <c r="P56" s="5"/>
      <c r="Q56" s="5"/>
      <c r="R56" s="5"/>
    </row>
    <row r="57" spans="1:18" s="4" customFormat="1" ht="14.1" customHeight="1">
      <c r="B57" s="55" t="s">
        <v>155</v>
      </c>
      <c r="C57" s="31" t="s">
        <v>673</v>
      </c>
      <c r="D57" s="71" t="b">
        <f t="shared" ref="D57:F58" si="3">D26&gt;100</f>
        <v>0</v>
      </c>
      <c r="E57" s="344" t="b">
        <f t="shared" si="3"/>
        <v>0</v>
      </c>
      <c r="F57" s="344" t="b">
        <f t="shared" si="3"/>
        <v>0</v>
      </c>
      <c r="G57" s="5"/>
      <c r="H57" s="5"/>
      <c r="I57" s="5"/>
      <c r="J57" s="39"/>
      <c r="K57" s="5"/>
      <c r="L57" s="5"/>
      <c r="M57" s="39"/>
      <c r="N57" s="5"/>
      <c r="O57" s="5"/>
      <c r="P57" s="5"/>
      <c r="Q57" s="5"/>
      <c r="R57" s="5"/>
    </row>
    <row r="58" spans="1:18" s="4" customFormat="1" ht="14.1" customHeight="1">
      <c r="B58" s="56" t="s">
        <v>3810</v>
      </c>
      <c r="C58" s="31" t="s">
        <v>674</v>
      </c>
      <c r="D58" s="71" t="b">
        <f t="shared" si="3"/>
        <v>0</v>
      </c>
      <c r="E58" s="344" t="b">
        <f t="shared" si="3"/>
        <v>0</v>
      </c>
      <c r="F58" s="344" t="b">
        <f t="shared" si="3"/>
        <v>0</v>
      </c>
      <c r="G58" s="5"/>
      <c r="H58" s="5"/>
      <c r="I58" s="5"/>
      <c r="J58" s="39"/>
      <c r="K58" s="5"/>
      <c r="L58" s="5"/>
      <c r="M58" s="39"/>
      <c r="N58" s="5"/>
      <c r="O58" s="5"/>
      <c r="P58" s="5"/>
      <c r="Q58" s="5"/>
      <c r="R58" s="5"/>
    </row>
    <row r="59" spans="1:18" s="4" customFormat="1" ht="14.1" customHeight="1">
      <c r="B59" s="56"/>
      <c r="C59" s="31" t="s">
        <v>316</v>
      </c>
      <c r="D59" s="71" t="b">
        <f>D28&gt;100</f>
        <v>0</v>
      </c>
      <c r="E59" s="5"/>
      <c r="F59" s="5"/>
      <c r="G59" s="5"/>
      <c r="H59" s="5"/>
      <c r="I59" s="5"/>
      <c r="J59" s="39"/>
      <c r="K59" s="5"/>
      <c r="L59" s="5"/>
      <c r="M59" s="39"/>
      <c r="N59" s="5"/>
      <c r="O59" s="5"/>
      <c r="P59" s="5"/>
      <c r="Q59" s="5"/>
      <c r="R59" s="5"/>
    </row>
    <row r="60" spans="1:18" s="4" customFormat="1" ht="14.1" customHeight="1">
      <c r="B60" s="48"/>
      <c r="C60" s="31" t="s">
        <v>317</v>
      </c>
      <c r="D60" s="71" t="b">
        <f>OR(D57:D59)</f>
        <v>0</v>
      </c>
      <c r="E60" s="341" t="b">
        <f>IF(Axis_Type=2,OR(E57:E58),OR(D57:D58))</f>
        <v>0</v>
      </c>
      <c r="F60" s="341" t="b">
        <f>IF(Axis_Type=2,OR(F57:F58),OR(D57:D58))</f>
        <v>0</v>
      </c>
      <c r="G60" s="5"/>
      <c r="H60" s="5"/>
      <c r="I60" s="5"/>
      <c r="J60" s="39"/>
      <c r="K60" s="5"/>
      <c r="L60" s="5"/>
      <c r="M60" s="39"/>
      <c r="N60" s="5"/>
      <c r="O60" s="5"/>
      <c r="P60" s="5"/>
      <c r="Q60" s="5"/>
      <c r="R60" s="5"/>
    </row>
    <row r="61" spans="1:18" s="4" customFormat="1" ht="14.1" customHeight="1">
      <c r="B61" s="31" t="s">
        <v>687</v>
      </c>
      <c r="C61" s="31"/>
      <c r="D61" s="71" t="b">
        <f>OR(D52,D56)</f>
        <v>0</v>
      </c>
      <c r="E61" s="344" t="b">
        <f>OR(D52,E56)</f>
        <v>0</v>
      </c>
      <c r="F61" s="344" t="b">
        <f>OR(D52,F56)</f>
        <v>0</v>
      </c>
      <c r="G61" s="5"/>
      <c r="H61" s="5"/>
      <c r="I61" s="341" t="b">
        <f>OR(D52,I56)</f>
        <v>0</v>
      </c>
      <c r="J61" s="39"/>
      <c r="K61" s="5"/>
      <c r="L61" s="5"/>
      <c r="M61" s="39"/>
      <c r="N61" s="5"/>
      <c r="O61" s="5"/>
      <c r="P61" s="5"/>
      <c r="Q61" s="5"/>
      <c r="R61" s="5"/>
    </row>
    <row r="62" spans="1:18" s="4" customFormat="1" ht="14.1" customHeight="1">
      <c r="B62" s="5"/>
      <c r="C62" s="5"/>
      <c r="D62" s="5"/>
      <c r="E62" s="5"/>
      <c r="F62" s="5"/>
      <c r="G62" s="5"/>
      <c r="H62" s="5"/>
      <c r="I62" s="5"/>
      <c r="J62" s="39"/>
      <c r="K62" s="5"/>
      <c r="L62" s="5"/>
      <c r="M62" s="5"/>
      <c r="N62" s="5"/>
      <c r="O62" s="5"/>
      <c r="P62" s="5"/>
      <c r="Q62" s="5"/>
      <c r="R62" s="5"/>
    </row>
    <row r="63" spans="1:18" ht="14.1" customHeight="1">
      <c r="B63" s="32" t="s">
        <v>2382</v>
      </c>
      <c r="C63" s="33"/>
      <c r="D63" s="34"/>
      <c r="E63" s="34"/>
      <c r="F63" s="34"/>
      <c r="G63" s="34"/>
      <c r="J63" s="39"/>
      <c r="K63" s="39"/>
      <c r="L63" s="39"/>
      <c r="M63" s="39"/>
      <c r="N63" s="39"/>
    </row>
    <row r="64" spans="1:18" ht="14.1" customHeight="1">
      <c r="A64" s="19"/>
      <c r="B64" s="35" t="s">
        <v>125</v>
      </c>
      <c r="C64" s="36"/>
      <c r="D64" s="36"/>
      <c r="E64" s="36"/>
      <c r="F64" s="36"/>
      <c r="G64" s="36"/>
      <c r="J64" s="39"/>
      <c r="K64" s="39"/>
      <c r="L64" s="39"/>
      <c r="M64" s="39"/>
      <c r="N64" s="39"/>
    </row>
    <row r="65" spans="1:18" ht="14.1" customHeight="1">
      <c r="A65" s="4"/>
      <c r="B65" s="37" t="s">
        <v>490</v>
      </c>
      <c r="C65" s="38">
        <f>C7+(C10*$D$73)</f>
        <v>1911.5099999999998</v>
      </c>
      <c r="D65" s="38">
        <f>D7+(D10*$D$73)</f>
        <v>628.83896251898068</v>
      </c>
      <c r="E65" s="362">
        <f>D8+(D11*$D$73)</f>
        <v>626.0185141117189</v>
      </c>
      <c r="F65" s="135"/>
      <c r="G65" s="135"/>
      <c r="J65" s="39"/>
      <c r="K65" s="400"/>
      <c r="L65" s="135"/>
      <c r="M65" s="135"/>
      <c r="N65" s="39"/>
    </row>
    <row r="66" spans="1:18" s="4" customFormat="1" ht="14.1" customHeight="1">
      <c r="A66" s="5"/>
      <c r="B66" s="37" t="s">
        <v>491</v>
      </c>
      <c r="C66" s="38">
        <f xml:space="preserve"> C8+(C11*$D$74)</f>
        <v>1726.6689999999999</v>
      </c>
      <c r="D66" s="38">
        <f xml:space="preserve"> D8+(D11*$D$74)</f>
        <v>580.52488147539407</v>
      </c>
      <c r="E66" s="362">
        <f xml:space="preserve"> D9+(D12*$D$74)</f>
        <v>124.30666305265572</v>
      </c>
      <c r="F66" s="135"/>
      <c r="G66" s="135"/>
      <c r="H66" s="5"/>
      <c r="I66" s="5"/>
      <c r="J66" s="39"/>
      <c r="K66" s="400"/>
      <c r="L66" s="135"/>
      <c r="M66" s="135"/>
      <c r="N66" s="39"/>
      <c r="O66" s="5"/>
      <c r="P66" s="5"/>
      <c r="Q66" s="5"/>
      <c r="R66" s="5"/>
    </row>
    <row r="67" spans="1:18" ht="14.1" customHeight="1">
      <c r="B67" s="37" t="s">
        <v>492</v>
      </c>
      <c r="C67" s="38">
        <f>C9+(C12*$D$75)</f>
        <v>935.71199999999999</v>
      </c>
      <c r="D67" s="38">
        <f>D9+(D12*$D$75)</f>
        <v>125.49560223561481</v>
      </c>
      <c r="E67" s="135"/>
      <c r="F67" s="135"/>
      <c r="G67" s="135"/>
      <c r="J67" s="39"/>
      <c r="K67" s="400"/>
      <c r="L67" s="135"/>
      <c r="M67" s="39"/>
      <c r="N67" s="39"/>
    </row>
    <row r="68" spans="1:18" ht="14.1" customHeight="1">
      <c r="B68" s="35"/>
      <c r="C68" s="35"/>
      <c r="D68" s="36"/>
      <c r="E68" s="35"/>
      <c r="F68" s="35"/>
      <c r="G68" s="35"/>
      <c r="H68" s="35"/>
      <c r="I68" s="39"/>
      <c r="J68" s="39"/>
      <c r="K68" s="39"/>
      <c r="L68" s="39"/>
      <c r="M68" s="39"/>
      <c r="N68" s="39"/>
    </row>
    <row r="69" spans="1:18" ht="14.1" customHeight="1">
      <c r="B69" s="40" t="s">
        <v>639</v>
      </c>
      <c r="C69" s="41" t="s">
        <v>640</v>
      </c>
      <c r="D69" s="41" t="s">
        <v>641</v>
      </c>
      <c r="E69" s="41" t="s">
        <v>1381</v>
      </c>
      <c r="F69" s="41" t="s">
        <v>642</v>
      </c>
      <c r="G69" s="41" t="s">
        <v>1381</v>
      </c>
      <c r="H69" s="39"/>
      <c r="I69" s="39"/>
      <c r="J69" s="39"/>
      <c r="K69" s="39"/>
      <c r="L69" s="39"/>
      <c r="M69" s="39"/>
      <c r="N69" s="39"/>
    </row>
    <row r="70" spans="1:18" ht="14.1" customHeight="1">
      <c r="B70" s="42" t="s">
        <v>822</v>
      </c>
      <c r="C70" s="43" t="s">
        <v>2155</v>
      </c>
      <c r="D70" s="43" t="s">
        <v>2156</v>
      </c>
      <c r="E70" s="43" t="s">
        <v>2157</v>
      </c>
      <c r="F70" s="43" t="s">
        <v>2158</v>
      </c>
      <c r="G70" s="43" t="s">
        <v>641</v>
      </c>
      <c r="H70" s="39"/>
      <c r="I70" s="39"/>
      <c r="J70" s="39"/>
      <c r="N70" s="415"/>
    </row>
    <row r="71" spans="1:18" ht="14.1" customHeight="1">
      <c r="B71" s="42" t="s">
        <v>3121</v>
      </c>
      <c r="C71" s="43" t="s">
        <v>3122</v>
      </c>
      <c r="D71" s="43"/>
      <c r="E71" s="43" t="s">
        <v>1382</v>
      </c>
      <c r="F71" s="43"/>
      <c r="G71" s="43"/>
      <c r="H71" s="39"/>
      <c r="I71" s="39"/>
      <c r="J71" s="39"/>
      <c r="K71" s="151"/>
      <c r="L71" s="415"/>
      <c r="M71" s="151"/>
    </row>
    <row r="72" spans="1:18" ht="14.1" customHeight="1">
      <c r="B72" s="44"/>
      <c r="C72" s="45" t="s">
        <v>3123</v>
      </c>
      <c r="D72" s="45" t="s">
        <v>1909</v>
      </c>
      <c r="E72" s="45" t="s">
        <v>3210</v>
      </c>
      <c r="F72" s="45" t="s">
        <v>3211</v>
      </c>
      <c r="G72" s="45" t="s">
        <v>271</v>
      </c>
      <c r="H72" s="39"/>
      <c r="I72" s="39"/>
      <c r="J72" s="39"/>
      <c r="K72" s="151"/>
      <c r="L72" s="415"/>
      <c r="M72" s="151"/>
    </row>
    <row r="73" spans="1:18" ht="14.1" customHeight="1">
      <c r="B73" s="37" t="s">
        <v>490</v>
      </c>
      <c r="C73" s="37">
        <f>VLOOKUP($C$3,Table1,3)</f>
        <v>207</v>
      </c>
      <c r="D73" s="557">
        <f>VLOOKUP($C73,Table2,2)</f>
        <v>4.0999999999999996</v>
      </c>
      <c r="E73" s="557">
        <f>VLOOKUP($C73,Table2,3)</f>
        <v>1912</v>
      </c>
      <c r="F73" s="557">
        <f>VLOOKUP($C73,Table2,4)</f>
        <v>1333</v>
      </c>
      <c r="G73" s="557">
        <f>VLOOKUP($C73,Table2,5)</f>
        <v>190</v>
      </c>
      <c r="H73" s="39"/>
      <c r="I73" s="39"/>
      <c r="J73" s="39"/>
      <c r="K73" s="151"/>
      <c r="L73" s="415"/>
      <c r="M73" s="151"/>
    </row>
    <row r="74" spans="1:18" ht="14.1" customHeight="1">
      <c r="B74" s="37" t="s">
        <v>491</v>
      </c>
      <c r="C74" s="37">
        <f>VLOOKUP($C$3,Table1,4)</f>
        <v>208</v>
      </c>
      <c r="D74" s="557">
        <f>VLOOKUP($C74,Table2,2)</f>
        <v>2.79</v>
      </c>
      <c r="E74" s="557">
        <f>VLOOKUP($C74,Table2,3)</f>
        <v>1727</v>
      </c>
      <c r="F74" s="557">
        <f>VLOOKUP($C74,Table2,4)</f>
        <v>1333</v>
      </c>
      <c r="G74" s="557">
        <f>VLOOKUP($C74,Table2,5)</f>
        <v>215</v>
      </c>
      <c r="H74" s="39"/>
      <c r="I74" s="39"/>
      <c r="J74" s="39"/>
      <c r="K74" s="415"/>
      <c r="L74" s="415"/>
      <c r="M74" s="151"/>
    </row>
    <row r="75" spans="1:18" ht="14.1" customHeight="1">
      <c r="B75" s="37" t="s">
        <v>492</v>
      </c>
      <c r="C75" s="37">
        <f>VLOOKUP($C$3,Table1,5)</f>
        <v>209</v>
      </c>
      <c r="D75" s="557">
        <f>VLOOKUP($C75,Table2,2)</f>
        <v>2.93</v>
      </c>
      <c r="E75" s="557">
        <f>VLOOKUP($C75,Table2,3)</f>
        <v>936</v>
      </c>
      <c r="F75" s="557">
        <f>VLOOKUP($C75,Table2,4)</f>
        <v>706</v>
      </c>
      <c r="G75" s="557">
        <f>VLOOKUP($C75,Table2,5)</f>
        <v>103</v>
      </c>
      <c r="H75" s="39"/>
      <c r="I75" s="39"/>
      <c r="J75" s="39"/>
      <c r="K75" s="415"/>
      <c r="L75" s="415"/>
      <c r="M75" s="151"/>
    </row>
    <row r="76" spans="1:18" ht="14.1" customHeight="1" thickBot="1">
      <c r="D76" s="5"/>
      <c r="J76" s="39"/>
    </row>
    <row r="77" spans="1:18" ht="14.1" customHeight="1" thickBot="1">
      <c r="B77" s="57" t="s">
        <v>154</v>
      </c>
      <c r="C77" s="58" t="s">
        <v>151</v>
      </c>
      <c r="D77" s="59" t="s">
        <v>489</v>
      </c>
      <c r="J77" s="39"/>
      <c r="K77" s="35"/>
      <c r="L77" s="39"/>
      <c r="M77" s="39"/>
    </row>
    <row r="78" spans="1:18" ht="14.1" customHeight="1">
      <c r="B78" s="452" t="s">
        <v>137</v>
      </c>
      <c r="C78" s="49" t="s">
        <v>138</v>
      </c>
      <c r="D78" s="50" t="s">
        <v>138</v>
      </c>
      <c r="J78" s="39"/>
      <c r="K78" s="35"/>
      <c r="L78" s="39"/>
      <c r="M78" s="39"/>
    </row>
    <row r="79" spans="1:18" ht="14.1" customHeight="1">
      <c r="B79" s="60" t="s">
        <v>152</v>
      </c>
      <c r="C79" s="51" t="s">
        <v>1155</v>
      </c>
      <c r="D79" s="52" t="s">
        <v>1155</v>
      </c>
      <c r="J79" s="39"/>
      <c r="K79" s="39"/>
      <c r="L79" s="400"/>
      <c r="M79" s="39"/>
    </row>
    <row r="80" spans="1:18" ht="14.1" customHeight="1">
      <c r="B80" s="60" t="s">
        <v>153</v>
      </c>
      <c r="C80" s="51" t="s">
        <v>2286</v>
      </c>
      <c r="D80" s="52" t="s">
        <v>2507</v>
      </c>
      <c r="J80" s="39"/>
      <c r="K80" s="39"/>
      <c r="L80" s="400"/>
      <c r="M80" s="39"/>
    </row>
    <row r="81" spans="2:13" ht="14.1" customHeight="1" thickBot="1">
      <c r="B81" s="61" t="s">
        <v>2931</v>
      </c>
      <c r="C81" s="53" t="s">
        <v>2932</v>
      </c>
      <c r="D81" s="54" t="s">
        <v>2933</v>
      </c>
      <c r="J81" s="39"/>
      <c r="K81" s="39"/>
      <c r="L81" s="400"/>
      <c r="M81" s="3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S333"/>
  <sheetViews>
    <sheetView zoomScale="75" zoomScaleNormal="100" workbookViewId="0">
      <selection activeCell="D23" sqref="D23"/>
    </sheetView>
  </sheetViews>
  <sheetFormatPr baseColWidth="10" defaultColWidth="9.33203125" defaultRowHeight="12.75"/>
  <cols>
    <col min="1" max="1" width="32.83203125" style="77" customWidth="1"/>
    <col min="2" max="2" width="35.1640625" style="77" customWidth="1"/>
    <col min="3" max="3" width="32.83203125" style="77" customWidth="1"/>
    <col min="4" max="4" width="41.33203125" style="77" customWidth="1"/>
    <col min="5" max="5" width="31.6640625" style="77" customWidth="1"/>
    <col min="6" max="6" width="20.83203125" style="77" customWidth="1"/>
    <col min="7" max="7" width="37.1640625" style="77" bestFit="1" customWidth="1"/>
    <col min="8" max="8" width="33.6640625" style="77" customWidth="1"/>
    <col min="9" max="9" width="21.5" style="77" bestFit="1" customWidth="1"/>
    <col min="10" max="10" width="18" style="77" customWidth="1"/>
    <col min="11" max="11" width="21.5" style="77" bestFit="1" customWidth="1"/>
    <col min="12" max="12" width="16.5" style="77" customWidth="1"/>
    <col min="13" max="13" width="27" style="77" bestFit="1" customWidth="1"/>
    <col min="14" max="15" width="9.33203125" style="77"/>
    <col min="16" max="16" width="21.5" style="77" bestFit="1" customWidth="1"/>
    <col min="17" max="18" width="9.33203125" style="77"/>
    <col min="19" max="19" width="18" style="77" bestFit="1" customWidth="1"/>
    <col min="20" max="20" width="25.6640625" style="77" bestFit="1" customWidth="1"/>
    <col min="21" max="23" width="9.33203125" style="77"/>
    <col min="24" max="24" width="18" style="77" bestFit="1" customWidth="1"/>
    <col min="25" max="25" width="18.83203125" style="77" bestFit="1" customWidth="1"/>
    <col min="26" max="27" width="9.33203125" style="77"/>
    <col min="28" max="28" width="26.5" style="77" bestFit="1" customWidth="1"/>
    <col min="29" max="30" width="9.6640625" style="77" bestFit="1" customWidth="1"/>
    <col min="31" max="31" width="9.33203125" style="77"/>
    <col min="32" max="32" width="12" style="77" customWidth="1"/>
    <col min="33" max="33" width="27.83203125" style="77" customWidth="1"/>
    <col min="34" max="34" width="20.1640625" style="77" customWidth="1"/>
    <col min="35" max="35" width="13" style="77" customWidth="1"/>
    <col min="36" max="36" width="15.33203125" style="77" customWidth="1"/>
    <col min="37" max="37" width="8.83203125" style="77" customWidth="1"/>
    <col min="38" max="16384" width="9.33203125" style="77"/>
  </cols>
  <sheetData>
    <row r="1" spans="1:45" ht="20.25">
      <c r="A1" s="96" t="s">
        <v>2230</v>
      </c>
      <c r="D1" s="142" t="s">
        <v>2143</v>
      </c>
      <c r="F1" s="77" t="s">
        <v>1638</v>
      </c>
      <c r="G1" s="77" t="s">
        <v>3777</v>
      </c>
      <c r="H1" s="77" t="s">
        <v>1492</v>
      </c>
      <c r="I1" s="77" t="s">
        <v>2981</v>
      </c>
      <c r="K1" s="187" t="s">
        <v>2982</v>
      </c>
      <c r="L1" s="187"/>
      <c r="M1" s="187" t="s">
        <v>860</v>
      </c>
      <c r="P1" s="187" t="s">
        <v>2981</v>
      </c>
      <c r="S1" s="187" t="s">
        <v>1451</v>
      </c>
      <c r="T1" s="187"/>
      <c r="X1" s="77" t="s">
        <v>1451</v>
      </c>
      <c r="AB1" s="77" t="s">
        <v>1478</v>
      </c>
      <c r="AF1" s="3" t="s">
        <v>3556</v>
      </c>
      <c r="AG1" t="s">
        <v>3557</v>
      </c>
      <c r="AH1" t="s">
        <v>798</v>
      </c>
      <c r="AI1" t="s">
        <v>799</v>
      </c>
      <c r="AJ1" t="s">
        <v>261</v>
      </c>
      <c r="AK1">
        <v>0</v>
      </c>
      <c r="AL1" s="543" t="s">
        <v>262</v>
      </c>
      <c r="AO1" s="81" t="s">
        <v>3655</v>
      </c>
      <c r="AP1" s="81" t="s">
        <v>3656</v>
      </c>
      <c r="AQ1" s="81" t="s">
        <v>3657</v>
      </c>
      <c r="AR1" s="81" t="s">
        <v>3658</v>
      </c>
      <c r="AS1" s="711" t="s">
        <v>3407</v>
      </c>
    </row>
    <row r="2" spans="1:45">
      <c r="A2" s="77" t="s">
        <v>1649</v>
      </c>
      <c r="D2" s="81" t="s">
        <v>3713</v>
      </c>
      <c r="E2" s="81"/>
      <c r="F2" s="77">
        <v>0</v>
      </c>
      <c r="G2" s="77" t="s">
        <v>2121</v>
      </c>
      <c r="H2" s="77">
        <v>2</v>
      </c>
      <c r="I2" s="91" t="s">
        <v>457</v>
      </c>
      <c r="K2" s="91" t="s">
        <v>4011</v>
      </c>
      <c r="M2" s="91" t="s">
        <v>4008</v>
      </c>
      <c r="P2" s="91" t="s">
        <v>3984</v>
      </c>
      <c r="S2" s="77">
        <v>10133</v>
      </c>
      <c r="T2" s="77" t="s">
        <v>1157</v>
      </c>
      <c r="U2" s="130"/>
      <c r="V2" s="130"/>
      <c r="W2" s="130"/>
      <c r="X2" s="130"/>
      <c r="Y2" s="130"/>
      <c r="AA2" s="77">
        <v>1</v>
      </c>
      <c r="AB2" s="77" t="s">
        <v>1709</v>
      </c>
      <c r="AC2" s="77" t="b">
        <v>1</v>
      </c>
      <c r="AD2" s="77" t="b">
        <v>1</v>
      </c>
      <c r="AF2">
        <v>0</v>
      </c>
      <c r="AG2"/>
      <c r="AH2"/>
      <c r="AI2"/>
      <c r="AJ2"/>
      <c r="AK2"/>
      <c r="AL2"/>
      <c r="AO2" s="81">
        <v>1</v>
      </c>
      <c r="AP2" s="81" t="str">
        <f t="shared" ref="AP2:AP33" ca="1" si="0">IF(OR(OFFSET(Summ_Robot_Code,$AO2-1,0)="",OFFSET(Summ_Robot_Code,$AO2-1,0)=""),"----","Used")</f>
        <v>----</v>
      </c>
      <c r="AQ2" s="81" t="str">
        <f t="shared" ref="AQ2:AQ33" ca="1" si="1">IF(OFFSET(Summ_Data_1,$AO2-1,0)="","",OFFSET(Summ_Data_1,$AO2-1,0))</f>
        <v/>
      </c>
      <c r="AR2" s="81" t="str">
        <f t="shared" ref="AR2:AR33" ca="1" si="2">IF(OFFSET(Summ_Data_1,$AO2-1,1)="","",OFFSET(Summ_Data_1,$AO2-1,1))</f>
        <v/>
      </c>
      <c r="AS2" s="81" t="str">
        <f t="shared" ref="AS2:AS33" ca="1" si="3">IF(OFFSET(Summ_Data_1,$AO2-1,3)="","",OFFSET(Summ_Data_1,$AO2-1,3))</f>
        <v/>
      </c>
    </row>
    <row r="3" spans="1:45">
      <c r="D3" s="81" t="s">
        <v>3600</v>
      </c>
      <c r="E3" s="81"/>
      <c r="F3" s="77">
        <v>0</v>
      </c>
      <c r="G3" s="77" t="s">
        <v>2628</v>
      </c>
      <c r="H3" s="77">
        <v>2</v>
      </c>
      <c r="I3" s="91" t="s">
        <v>1794</v>
      </c>
      <c r="K3" s="91" t="s">
        <v>4012</v>
      </c>
      <c r="M3" s="91" t="s">
        <v>4009</v>
      </c>
      <c r="P3" s="91" t="s">
        <v>3985</v>
      </c>
      <c r="S3" s="77">
        <v>10153</v>
      </c>
      <c r="T3" s="77" t="s">
        <v>334</v>
      </c>
      <c r="U3" s="130"/>
      <c r="V3" s="130"/>
      <c r="W3" s="130"/>
      <c r="X3" s="130"/>
      <c r="Y3" s="130"/>
      <c r="AA3" s="77">
        <v>2</v>
      </c>
      <c r="AB3" s="77" t="s">
        <v>1710</v>
      </c>
      <c r="AC3" s="77" t="b">
        <v>0</v>
      </c>
      <c r="AD3" s="77" t="b">
        <v>1</v>
      </c>
      <c r="AO3" s="81">
        <v>2</v>
      </c>
      <c r="AP3" s="81" t="str">
        <f t="shared" ca="1" si="0"/>
        <v>----</v>
      </c>
      <c r="AQ3" s="81" t="str">
        <f t="shared" ca="1" si="1"/>
        <v/>
      </c>
      <c r="AR3" s="81" t="str">
        <f t="shared" ca="1" si="2"/>
        <v/>
      </c>
      <c r="AS3" s="81" t="str">
        <f t="shared" ca="1" si="3"/>
        <v/>
      </c>
    </row>
    <row r="4" spans="1:45" ht="13.5" thickBot="1">
      <c r="D4" s="81" t="s">
        <v>495</v>
      </c>
      <c r="E4" s="81"/>
      <c r="F4" s="77">
        <v>0</v>
      </c>
      <c r="G4" s="77" t="s">
        <v>181</v>
      </c>
      <c r="H4" s="77">
        <v>2</v>
      </c>
      <c r="I4" s="91" t="s">
        <v>2845</v>
      </c>
      <c r="K4" s="91" t="s">
        <v>4013</v>
      </c>
      <c r="M4" s="91" t="s">
        <v>4010</v>
      </c>
      <c r="P4" s="91" t="s">
        <v>3986</v>
      </c>
      <c r="S4" s="77">
        <v>118</v>
      </c>
      <c r="T4" s="77" t="s">
        <v>1971</v>
      </c>
      <c r="U4" s="130"/>
      <c r="V4" s="130"/>
      <c r="W4" s="130"/>
      <c r="X4" s="130"/>
      <c r="Y4" s="130"/>
      <c r="AA4" s="77">
        <v>3</v>
      </c>
      <c r="AB4" s="77" t="s">
        <v>1711</v>
      </c>
      <c r="AC4" s="77" t="b">
        <v>1</v>
      </c>
      <c r="AD4" s="77" t="b">
        <v>1</v>
      </c>
      <c r="AO4" s="81">
        <v>3</v>
      </c>
      <c r="AP4" s="81" t="str">
        <f t="shared" ca="1" si="0"/>
        <v>----</v>
      </c>
      <c r="AQ4" s="81" t="str">
        <f t="shared" ca="1" si="1"/>
        <v/>
      </c>
      <c r="AR4" s="81" t="str">
        <f t="shared" ca="1" si="2"/>
        <v/>
      </c>
      <c r="AS4" s="81" t="str">
        <f t="shared" ca="1" si="3"/>
        <v/>
      </c>
    </row>
    <row r="5" spans="1:45" ht="13.5" thickBot="1">
      <c r="A5" s="84" t="s">
        <v>1629</v>
      </c>
      <c r="D5" s="81" t="s">
        <v>3443</v>
      </c>
      <c r="E5" s="81"/>
      <c r="F5" s="77">
        <v>0</v>
      </c>
      <c r="G5" s="77" t="s">
        <v>946</v>
      </c>
      <c r="H5" s="77">
        <v>2</v>
      </c>
      <c r="I5" s="91" t="s">
        <v>1795</v>
      </c>
      <c r="K5" s="91" t="s">
        <v>4014</v>
      </c>
      <c r="P5" s="91" t="s">
        <v>3987</v>
      </c>
      <c r="S5" s="130">
        <v>10041</v>
      </c>
      <c r="T5" s="130" t="s">
        <v>978</v>
      </c>
      <c r="U5" s="130"/>
      <c r="V5" s="130"/>
      <c r="W5" s="130"/>
      <c r="X5" s="130"/>
      <c r="Y5" s="130"/>
      <c r="AA5" s="77">
        <v>4</v>
      </c>
      <c r="AB5" s="77" t="s">
        <v>1712</v>
      </c>
      <c r="AC5" s="77" t="b">
        <v>1</v>
      </c>
      <c r="AD5" s="77" t="b">
        <v>1</v>
      </c>
      <c r="AO5" s="81">
        <v>4</v>
      </c>
      <c r="AP5" s="81" t="str">
        <f t="shared" ca="1" si="0"/>
        <v>----</v>
      </c>
      <c r="AQ5" s="81" t="str">
        <f t="shared" ca="1" si="1"/>
        <v/>
      </c>
      <c r="AR5" s="81" t="str">
        <f t="shared" ca="1" si="2"/>
        <v/>
      </c>
      <c r="AS5" s="81" t="str">
        <f t="shared" ca="1" si="3"/>
        <v/>
      </c>
    </row>
    <row r="6" spans="1:45">
      <c r="A6" s="80">
        <v>1</v>
      </c>
      <c r="B6" s="47" t="s">
        <v>3476</v>
      </c>
      <c r="C6" s="77">
        <v>1</v>
      </c>
      <c r="D6" s="81" t="s">
        <v>1920</v>
      </c>
      <c r="E6" s="81"/>
      <c r="F6" s="77">
        <v>0</v>
      </c>
      <c r="G6" s="77" t="s">
        <v>945</v>
      </c>
      <c r="H6" s="77">
        <v>2</v>
      </c>
      <c r="I6" s="91" t="s">
        <v>184</v>
      </c>
      <c r="K6" s="91" t="s">
        <v>3989</v>
      </c>
      <c r="P6" s="91" t="s">
        <v>3988</v>
      </c>
      <c r="S6" s="130">
        <v>10043</v>
      </c>
      <c r="T6" s="130" t="s">
        <v>3452</v>
      </c>
      <c r="U6" s="130"/>
      <c r="V6" s="130"/>
      <c r="W6" s="130"/>
      <c r="X6" s="130"/>
      <c r="Y6" s="130"/>
      <c r="AA6" s="77">
        <v>5</v>
      </c>
      <c r="AB6" s="77" t="s">
        <v>1713</v>
      </c>
      <c r="AC6" s="77" t="b">
        <v>0</v>
      </c>
      <c r="AD6" s="77" t="b">
        <v>1</v>
      </c>
      <c r="AO6" s="81">
        <v>5</v>
      </c>
      <c r="AP6" s="81" t="str">
        <f t="shared" ca="1" si="0"/>
        <v>----</v>
      </c>
      <c r="AQ6" s="81" t="str">
        <f t="shared" ca="1" si="1"/>
        <v/>
      </c>
      <c r="AR6" s="81" t="str">
        <f t="shared" ca="1" si="2"/>
        <v/>
      </c>
      <c r="AS6" s="81" t="str">
        <f t="shared" ca="1" si="3"/>
        <v/>
      </c>
    </row>
    <row r="7" spans="1:45">
      <c r="A7" s="47">
        <v>2</v>
      </c>
      <c r="B7" s="47" t="s">
        <v>1590</v>
      </c>
      <c r="D7" s="81" t="s">
        <v>1921</v>
      </c>
      <c r="E7" s="81"/>
      <c r="F7" s="77">
        <v>0</v>
      </c>
      <c r="G7" s="77" t="s">
        <v>337</v>
      </c>
      <c r="H7" s="77">
        <v>2</v>
      </c>
      <c r="I7" s="91" t="s">
        <v>1920</v>
      </c>
      <c r="K7" s="91" t="s">
        <v>3990</v>
      </c>
      <c r="P7" s="91" t="s">
        <v>3989</v>
      </c>
      <c r="S7" s="130">
        <v>10044</v>
      </c>
      <c r="T7" s="130" t="s">
        <v>2643</v>
      </c>
      <c r="U7" s="130"/>
      <c r="V7" s="130"/>
      <c r="W7" s="130"/>
      <c r="X7" s="130"/>
      <c r="Y7" s="130"/>
      <c r="AA7" s="77">
        <v>6</v>
      </c>
      <c r="AB7" s="77" t="s">
        <v>1714</v>
      </c>
      <c r="AC7" s="77" t="b">
        <v>0</v>
      </c>
      <c r="AD7" s="77" t="b">
        <v>1</v>
      </c>
      <c r="AO7" s="81">
        <v>6</v>
      </c>
      <c r="AP7" s="81" t="str">
        <f t="shared" ca="1" si="0"/>
        <v>----</v>
      </c>
      <c r="AQ7" s="81" t="str">
        <f t="shared" ca="1" si="1"/>
        <v/>
      </c>
      <c r="AR7" s="81" t="str">
        <f t="shared" ca="1" si="2"/>
        <v/>
      </c>
      <c r="AS7" s="81" t="str">
        <f t="shared" ca="1" si="3"/>
        <v/>
      </c>
    </row>
    <row r="8" spans="1:45">
      <c r="A8" s="47">
        <v>3</v>
      </c>
      <c r="B8" s="47" t="s">
        <v>3607</v>
      </c>
      <c r="D8" s="197" t="s">
        <v>831</v>
      </c>
      <c r="E8" s="81"/>
      <c r="F8" s="77">
        <v>0</v>
      </c>
      <c r="G8" s="77" t="s">
        <v>338</v>
      </c>
      <c r="H8" s="77">
        <v>2</v>
      </c>
      <c r="I8" s="91" t="s">
        <v>1921</v>
      </c>
      <c r="K8" s="130" t="s">
        <v>1668</v>
      </c>
      <c r="M8" s="287"/>
      <c r="P8" s="91" t="s">
        <v>3990</v>
      </c>
      <c r="S8" s="130">
        <v>10058</v>
      </c>
      <c r="T8" s="130" t="s">
        <v>3137</v>
      </c>
      <c r="U8" s="130"/>
      <c r="V8" s="130"/>
      <c r="W8" s="130"/>
      <c r="X8" s="130"/>
      <c r="Y8" s="130"/>
      <c r="AA8" s="77">
        <v>7</v>
      </c>
      <c r="AB8" s="77" t="s">
        <v>1715</v>
      </c>
      <c r="AC8" s="77" t="b">
        <v>0</v>
      </c>
      <c r="AD8" s="77" t="b">
        <v>1</v>
      </c>
      <c r="AO8" s="81">
        <v>7</v>
      </c>
      <c r="AP8" s="81" t="str">
        <f t="shared" ca="1" si="0"/>
        <v>----</v>
      </c>
      <c r="AQ8" s="81" t="str">
        <f t="shared" ca="1" si="1"/>
        <v/>
      </c>
      <c r="AR8" s="81" t="str">
        <f t="shared" ca="1" si="2"/>
        <v/>
      </c>
      <c r="AS8" s="81" t="str">
        <f t="shared" ca="1" si="3"/>
        <v/>
      </c>
    </row>
    <row r="9" spans="1:45">
      <c r="A9" s="94">
        <v>4</v>
      </c>
      <c r="B9" s="94" t="s">
        <v>1591</v>
      </c>
      <c r="F9" s="77">
        <v>0</v>
      </c>
      <c r="G9" s="77" t="s">
        <v>339</v>
      </c>
      <c r="H9" s="77">
        <v>0</v>
      </c>
      <c r="I9" s="91" t="s">
        <v>159</v>
      </c>
      <c r="M9" s="287"/>
      <c r="P9" s="91" t="s">
        <v>3991</v>
      </c>
      <c r="S9" s="130">
        <v>10171</v>
      </c>
      <c r="T9" s="130" t="s">
        <v>2261</v>
      </c>
      <c r="U9" s="130"/>
      <c r="V9" s="130"/>
      <c r="W9" s="130"/>
      <c r="X9" s="130"/>
      <c r="Y9" s="130"/>
      <c r="AA9" s="77">
        <v>8</v>
      </c>
      <c r="AB9" s="77" t="s">
        <v>1716</v>
      </c>
      <c r="AC9" s="77" t="b">
        <v>0</v>
      </c>
      <c r="AD9" s="77" t="b">
        <v>1</v>
      </c>
      <c r="AO9" s="81">
        <v>8</v>
      </c>
      <c r="AP9" s="81" t="str">
        <f t="shared" ca="1" si="0"/>
        <v>----</v>
      </c>
      <c r="AQ9" s="81" t="str">
        <f t="shared" ca="1" si="1"/>
        <v/>
      </c>
      <c r="AR9" s="81" t="str">
        <f t="shared" ca="1" si="2"/>
        <v/>
      </c>
      <c r="AS9" s="81" t="str">
        <f t="shared" ca="1" si="3"/>
        <v/>
      </c>
    </row>
    <row r="10" spans="1:45" ht="13.5" thickBot="1">
      <c r="A10" s="94">
        <v>7</v>
      </c>
      <c r="B10" s="94" t="s">
        <v>959</v>
      </c>
      <c r="F10" s="77">
        <v>0</v>
      </c>
      <c r="G10" s="77" t="s">
        <v>2074</v>
      </c>
      <c r="H10" s="77">
        <v>2</v>
      </c>
      <c r="I10" s="91" t="s">
        <v>1590</v>
      </c>
      <c r="M10" s="413"/>
      <c r="P10" s="91" t="s">
        <v>3992</v>
      </c>
      <c r="S10" s="130">
        <v>10172</v>
      </c>
      <c r="T10" s="130" t="s">
        <v>980</v>
      </c>
      <c r="U10" s="130"/>
      <c r="V10" s="130"/>
      <c r="W10" s="130"/>
      <c r="X10" s="130"/>
      <c r="Y10" s="130"/>
      <c r="AA10" s="77">
        <v>9</v>
      </c>
      <c r="AB10" s="77" t="s">
        <v>1717</v>
      </c>
      <c r="AC10" s="77" t="b">
        <v>0</v>
      </c>
      <c r="AD10" s="77" t="b">
        <v>1</v>
      </c>
      <c r="AO10" s="81">
        <v>9</v>
      </c>
      <c r="AP10" s="81" t="str">
        <f t="shared" ca="1" si="0"/>
        <v>----</v>
      </c>
      <c r="AQ10" s="81" t="str">
        <f t="shared" ca="1" si="1"/>
        <v/>
      </c>
      <c r="AR10" s="81" t="str">
        <f t="shared" ca="1" si="2"/>
        <v/>
      </c>
      <c r="AS10" s="81" t="str">
        <f t="shared" ca="1" si="3"/>
        <v/>
      </c>
    </row>
    <row r="11" spans="1:45" ht="13.5" thickBot="1">
      <c r="A11" s="85" t="s">
        <v>855</v>
      </c>
      <c r="B11" s="92">
        <v>1</v>
      </c>
      <c r="C11" s="93" t="str">
        <f>VLOOKUP(B11,PayloadTypeList,2)</f>
        <v>CofG - SI</v>
      </c>
      <c r="D11" s="84" t="str">
        <f>IF(Anal_Payload_Code=1,"",IF(Anal_Payload_Code=2,"",0))</f>
        <v/>
      </c>
      <c r="F11" s="77">
        <v>1</v>
      </c>
      <c r="G11" s="77" t="s">
        <v>241</v>
      </c>
      <c r="H11" s="77">
        <v>0</v>
      </c>
      <c r="I11" s="91" t="s">
        <v>3607</v>
      </c>
      <c r="M11" s="413"/>
      <c r="P11" s="91" t="s">
        <v>3993</v>
      </c>
      <c r="S11" s="130">
        <v>10119</v>
      </c>
      <c r="T11" s="130" t="s">
        <v>2724</v>
      </c>
      <c r="U11" s="130"/>
      <c r="V11" s="130"/>
      <c r="W11" s="130"/>
      <c r="X11" s="130"/>
      <c r="Y11" s="130"/>
      <c r="AA11" s="77">
        <v>10</v>
      </c>
      <c r="AB11" s="77" t="s">
        <v>1718</v>
      </c>
      <c r="AC11" s="77" t="b">
        <v>0</v>
      </c>
      <c r="AD11" s="77" t="b">
        <v>1</v>
      </c>
      <c r="AO11" s="81">
        <v>10</v>
      </c>
      <c r="AP11" s="81" t="str">
        <f t="shared" ca="1" si="0"/>
        <v>----</v>
      </c>
      <c r="AQ11" s="81" t="str">
        <f t="shared" ca="1" si="1"/>
        <v/>
      </c>
      <c r="AR11" s="81" t="str">
        <f t="shared" ca="1" si="2"/>
        <v/>
      </c>
      <c r="AS11" s="81" t="str">
        <f t="shared" ca="1" si="3"/>
        <v/>
      </c>
    </row>
    <row r="12" spans="1:45" ht="13.5" thickBot="1">
      <c r="D12" s="287" t="s">
        <v>1335</v>
      </c>
      <c r="F12" s="77">
        <v>1</v>
      </c>
      <c r="G12" s="77" t="s">
        <v>242</v>
      </c>
      <c r="H12" s="77">
        <v>0</v>
      </c>
      <c r="I12" s="91" t="s">
        <v>1591</v>
      </c>
      <c r="M12" s="413"/>
      <c r="P12" s="91" t="s">
        <v>3994</v>
      </c>
      <c r="S12" s="130">
        <v>10175</v>
      </c>
      <c r="T12" s="130" t="s">
        <v>278</v>
      </c>
      <c r="U12" s="130"/>
      <c r="V12" s="130"/>
      <c r="W12" s="130"/>
      <c r="X12" s="130"/>
      <c r="Y12" s="130"/>
      <c r="AA12" s="77">
        <v>11</v>
      </c>
      <c r="AB12" s="77" t="s">
        <v>1719</v>
      </c>
      <c r="AC12" s="77" t="b">
        <v>0</v>
      </c>
      <c r="AD12" s="77" t="b">
        <v>1</v>
      </c>
      <c r="AO12" s="81">
        <v>11</v>
      </c>
      <c r="AP12" s="81" t="str">
        <f t="shared" ca="1" si="0"/>
        <v>----</v>
      </c>
      <c r="AQ12" s="81" t="str">
        <f t="shared" ca="1" si="1"/>
        <v/>
      </c>
      <c r="AR12" s="81" t="str">
        <f t="shared" ca="1" si="2"/>
        <v/>
      </c>
      <c r="AS12" s="81" t="str">
        <f t="shared" ca="1" si="3"/>
        <v/>
      </c>
    </row>
    <row r="13" spans="1:45" ht="13.5" thickBot="1">
      <c r="A13" s="84" t="s">
        <v>854</v>
      </c>
      <c r="F13" s="77">
        <v>1</v>
      </c>
      <c r="G13" s="77" t="s">
        <v>938</v>
      </c>
      <c r="H13" s="77">
        <v>0</v>
      </c>
      <c r="I13" s="77" t="s">
        <v>3083</v>
      </c>
      <c r="M13" s="413"/>
      <c r="P13" s="77" t="s">
        <v>3995</v>
      </c>
      <c r="S13" s="130">
        <v>10169</v>
      </c>
      <c r="T13" s="130" t="s">
        <v>3728</v>
      </c>
      <c r="U13" s="130"/>
      <c r="V13" s="130"/>
      <c r="W13" s="130"/>
      <c r="X13" s="130"/>
      <c r="Y13" s="130"/>
      <c r="AA13" s="77">
        <v>12</v>
      </c>
      <c r="AB13" s="77" t="s">
        <v>1720</v>
      </c>
      <c r="AC13" s="77" t="b">
        <v>0</v>
      </c>
      <c r="AD13" s="77" t="b">
        <v>1</v>
      </c>
      <c r="AO13" s="81">
        <v>12</v>
      </c>
      <c r="AP13" s="81" t="str">
        <f t="shared" ca="1" si="0"/>
        <v>----</v>
      </c>
      <c r="AQ13" s="81" t="str">
        <f t="shared" ca="1" si="1"/>
        <v/>
      </c>
      <c r="AR13" s="81" t="str">
        <f t="shared" ca="1" si="2"/>
        <v/>
      </c>
      <c r="AS13" s="81" t="str">
        <f t="shared" ca="1" si="3"/>
        <v/>
      </c>
    </row>
    <row r="14" spans="1:45">
      <c r="A14" s="143">
        <v>1</v>
      </c>
      <c r="B14" s="144">
        <v>2</v>
      </c>
      <c r="C14" s="144">
        <v>3</v>
      </c>
      <c r="D14" s="144">
        <v>4</v>
      </c>
      <c r="E14" s="47">
        <v>7</v>
      </c>
      <c r="F14" s="77">
        <v>1</v>
      </c>
      <c r="G14" s="77" t="s">
        <v>939</v>
      </c>
      <c r="H14" s="77">
        <v>0</v>
      </c>
      <c r="M14" s="287"/>
      <c r="P14" s="91" t="s">
        <v>3996</v>
      </c>
      <c r="S14" s="130">
        <v>10170</v>
      </c>
      <c r="T14" s="130" t="s">
        <v>1217</v>
      </c>
      <c r="U14" s="130"/>
      <c r="V14" s="130"/>
      <c r="W14" s="130"/>
      <c r="X14" s="130"/>
      <c r="Y14" s="130"/>
      <c r="AA14" s="77">
        <v>13</v>
      </c>
      <c r="AB14" s="77" t="s">
        <v>1721</v>
      </c>
      <c r="AC14" s="77" t="b">
        <v>0</v>
      </c>
      <c r="AD14" s="77" t="b">
        <v>1</v>
      </c>
      <c r="AO14" s="81">
        <v>13</v>
      </c>
      <c r="AP14" s="81" t="str">
        <f t="shared" ca="1" si="0"/>
        <v>----</v>
      </c>
      <c r="AQ14" s="81" t="str">
        <f t="shared" ca="1" si="1"/>
        <v/>
      </c>
      <c r="AR14" s="81" t="str">
        <f t="shared" ca="1" si="2"/>
        <v/>
      </c>
      <c r="AS14" s="81" t="str">
        <f t="shared" ca="1" si="3"/>
        <v/>
      </c>
    </row>
    <row r="15" spans="1:45">
      <c r="A15" s="809" t="s">
        <v>4015</v>
      </c>
      <c r="B15" s="809" t="s">
        <v>4016</v>
      </c>
      <c r="C15" s="809" t="s">
        <v>4017</v>
      </c>
      <c r="D15" s="809" t="s">
        <v>4018</v>
      </c>
      <c r="E15" s="809" t="s">
        <v>1142</v>
      </c>
      <c r="F15" s="77">
        <v>1</v>
      </c>
      <c r="G15" s="77" t="s">
        <v>940</v>
      </c>
      <c r="H15" s="77">
        <v>0</v>
      </c>
      <c r="P15" s="91" t="s">
        <v>3997</v>
      </c>
      <c r="S15" s="130">
        <v>10180</v>
      </c>
      <c r="T15" s="130" t="s">
        <v>56</v>
      </c>
      <c r="U15" s="130"/>
      <c r="V15" s="130"/>
      <c r="W15" s="130"/>
      <c r="X15" s="130"/>
      <c r="Y15" s="130"/>
      <c r="AA15" s="77">
        <v>14</v>
      </c>
      <c r="AB15" s="77" t="s">
        <v>1722</v>
      </c>
      <c r="AC15" s="77" t="b">
        <v>0</v>
      </c>
      <c r="AD15" s="77" t="b">
        <v>1</v>
      </c>
      <c r="AO15" s="81">
        <v>14</v>
      </c>
      <c r="AP15" s="81" t="str">
        <f t="shared" ca="1" si="0"/>
        <v>----</v>
      </c>
      <c r="AQ15" s="81" t="str">
        <f t="shared" ca="1" si="1"/>
        <v/>
      </c>
      <c r="AR15" s="81" t="str">
        <f t="shared" ca="1" si="2"/>
        <v/>
      </c>
      <c r="AS15" s="81" t="str">
        <f t="shared" ca="1" si="3"/>
        <v/>
      </c>
    </row>
    <row r="16" spans="1:45">
      <c r="A16" s="145" t="s">
        <v>112</v>
      </c>
      <c r="B16" s="145" t="s">
        <v>182</v>
      </c>
      <c r="C16" s="145" t="s">
        <v>182</v>
      </c>
      <c r="D16" s="145" t="s">
        <v>182</v>
      </c>
      <c r="E16" s="145" t="s">
        <v>1143</v>
      </c>
      <c r="F16" s="77">
        <v>1</v>
      </c>
      <c r="G16" s="77" t="s">
        <v>941</v>
      </c>
      <c r="H16" s="77">
        <v>0</v>
      </c>
      <c r="I16" s="77" t="s">
        <v>1641</v>
      </c>
      <c r="P16" s="91" t="s">
        <v>3998</v>
      </c>
      <c r="S16" s="130">
        <v>10181</v>
      </c>
      <c r="T16" s="130" t="s">
        <v>2220</v>
      </c>
      <c r="U16" s="130"/>
      <c r="V16" s="130"/>
      <c r="W16" s="130"/>
      <c r="X16" s="130"/>
      <c r="Y16" s="130"/>
      <c r="AA16" s="77">
        <v>15</v>
      </c>
      <c r="AB16" s="77" t="s">
        <v>1723</v>
      </c>
      <c r="AC16" s="77" t="b">
        <v>0</v>
      </c>
      <c r="AD16" s="77" t="b">
        <v>1</v>
      </c>
      <c r="AO16" s="81">
        <v>15</v>
      </c>
      <c r="AP16" s="81" t="str">
        <f t="shared" ca="1" si="0"/>
        <v>----</v>
      </c>
      <c r="AQ16" s="81" t="str">
        <f t="shared" ca="1" si="1"/>
        <v/>
      </c>
      <c r="AR16" s="81" t="str">
        <f t="shared" ca="1" si="2"/>
        <v/>
      </c>
      <c r="AS16" s="81" t="str">
        <f t="shared" ca="1" si="3"/>
        <v/>
      </c>
    </row>
    <row r="17" spans="1:45">
      <c r="A17" s="145" t="s">
        <v>821</v>
      </c>
      <c r="B17" s="145" t="s">
        <v>2001</v>
      </c>
      <c r="C17" s="37" t="s">
        <v>364</v>
      </c>
      <c r="D17" s="37" t="s">
        <v>364</v>
      </c>
      <c r="E17" s="145" t="s">
        <v>821</v>
      </c>
      <c r="F17" s="77">
        <v>1</v>
      </c>
      <c r="G17" s="77" t="s">
        <v>942</v>
      </c>
      <c r="H17" s="77">
        <v>0</v>
      </c>
      <c r="I17" s="191" t="s">
        <v>3426</v>
      </c>
      <c r="P17" s="91" t="s">
        <v>3999</v>
      </c>
      <c r="S17" s="130">
        <v>10059</v>
      </c>
      <c r="T17" s="130" t="s">
        <v>635</v>
      </c>
      <c r="U17" s="130"/>
      <c r="V17" s="130"/>
      <c r="W17" s="130"/>
      <c r="X17" s="130"/>
      <c r="Y17" s="130"/>
      <c r="AA17" s="77">
        <v>16</v>
      </c>
      <c r="AB17" s="77" t="s">
        <v>1724</v>
      </c>
      <c r="AC17" s="77" t="b">
        <v>0</v>
      </c>
      <c r="AD17" s="77" t="b">
        <v>1</v>
      </c>
      <c r="AO17" s="81">
        <v>16</v>
      </c>
      <c r="AP17" s="81" t="str">
        <f t="shared" ca="1" si="0"/>
        <v>----</v>
      </c>
      <c r="AQ17" s="81" t="str">
        <f t="shared" ca="1" si="1"/>
        <v/>
      </c>
      <c r="AR17" s="81" t="str">
        <f t="shared" ca="1" si="2"/>
        <v/>
      </c>
      <c r="AS17" s="81" t="str">
        <f t="shared" ca="1" si="3"/>
        <v/>
      </c>
    </row>
    <row r="18" spans="1:45">
      <c r="A18" s="145" t="s">
        <v>1513</v>
      </c>
      <c r="B18" s="145" t="s">
        <v>630</v>
      </c>
      <c r="C18" s="37" t="s">
        <v>365</v>
      </c>
      <c r="D18" s="37" t="s">
        <v>365</v>
      </c>
      <c r="E18" s="145" t="s">
        <v>1513</v>
      </c>
      <c r="F18" s="77">
        <v>1</v>
      </c>
      <c r="G18" s="77" t="s">
        <v>943</v>
      </c>
      <c r="H18" s="130">
        <v>0</v>
      </c>
      <c r="P18" s="91" t="s">
        <v>4000</v>
      </c>
      <c r="S18" s="130">
        <v>10174</v>
      </c>
      <c r="T18" s="130" t="s">
        <v>106</v>
      </c>
      <c r="U18" s="130"/>
      <c r="V18" s="130"/>
      <c r="W18" s="130"/>
      <c r="X18" s="130"/>
      <c r="Y18" s="130"/>
      <c r="AA18" s="77">
        <v>17</v>
      </c>
      <c r="AB18" s="77" t="s">
        <v>1725</v>
      </c>
      <c r="AC18" s="77" t="b">
        <v>0</v>
      </c>
      <c r="AD18" s="77" t="b">
        <v>1</v>
      </c>
      <c r="AO18" s="81">
        <v>17</v>
      </c>
      <c r="AP18" s="81" t="str">
        <f t="shared" ca="1" si="0"/>
        <v>----</v>
      </c>
      <c r="AQ18" s="81" t="str">
        <f t="shared" ca="1" si="1"/>
        <v/>
      </c>
      <c r="AR18" s="81" t="str">
        <f t="shared" ca="1" si="2"/>
        <v/>
      </c>
      <c r="AS18" s="81" t="str">
        <f t="shared" ca="1" si="3"/>
        <v/>
      </c>
    </row>
    <row r="19" spans="1:45">
      <c r="A19" s="145" t="s">
        <v>1290</v>
      </c>
      <c r="B19" s="145" t="s">
        <v>631</v>
      </c>
      <c r="C19" s="37" t="s">
        <v>366</v>
      </c>
      <c r="D19" s="37" t="s">
        <v>366</v>
      </c>
      <c r="E19" s="145" t="s">
        <v>1290</v>
      </c>
      <c r="F19" s="77">
        <v>1</v>
      </c>
      <c r="G19" s="77" t="s">
        <v>944</v>
      </c>
      <c r="H19" s="130">
        <v>0</v>
      </c>
      <c r="P19" s="77" t="s">
        <v>4001</v>
      </c>
      <c r="S19" s="130">
        <v>10177</v>
      </c>
      <c r="T19" s="130" t="s">
        <v>2801</v>
      </c>
      <c r="U19" s="130"/>
      <c r="V19" s="130"/>
      <c r="W19" s="130"/>
      <c r="X19" s="130"/>
      <c r="Y19" s="130"/>
      <c r="AA19" s="77">
        <v>18</v>
      </c>
      <c r="AB19" s="77" t="s">
        <v>1726</v>
      </c>
      <c r="AC19" s="77" t="b">
        <v>0</v>
      </c>
      <c r="AD19" s="77" t="b">
        <v>1</v>
      </c>
      <c r="AO19" s="81">
        <v>18</v>
      </c>
      <c r="AP19" s="81" t="str">
        <f t="shared" ca="1" si="0"/>
        <v>----</v>
      </c>
      <c r="AQ19" s="81" t="str">
        <f t="shared" ca="1" si="1"/>
        <v/>
      </c>
      <c r="AR19" s="81" t="str">
        <f t="shared" ca="1" si="2"/>
        <v/>
      </c>
      <c r="AS19" s="81" t="str">
        <f t="shared" ca="1" si="3"/>
        <v/>
      </c>
    </row>
    <row r="20" spans="1:45">
      <c r="A20" s="145" t="s">
        <v>1291</v>
      </c>
      <c r="B20" s="145" t="s">
        <v>632</v>
      </c>
      <c r="C20" s="37" t="s">
        <v>1914</v>
      </c>
      <c r="D20" s="37" t="s">
        <v>2746</v>
      </c>
      <c r="E20" s="145" t="s">
        <v>1291</v>
      </c>
      <c r="F20" s="77">
        <v>0</v>
      </c>
      <c r="G20" s="77" t="s">
        <v>2392</v>
      </c>
      <c r="H20" s="77">
        <v>2</v>
      </c>
      <c r="P20" s="77" t="s">
        <v>4002</v>
      </c>
      <c r="S20" s="130">
        <v>10178</v>
      </c>
      <c r="T20" s="130" t="s">
        <v>3568</v>
      </c>
      <c r="U20" s="130"/>
      <c r="V20" s="130"/>
      <c r="W20" s="130"/>
      <c r="X20" s="130"/>
      <c r="Y20" s="130"/>
      <c r="AA20" s="77">
        <v>19</v>
      </c>
      <c r="AB20" s="77" t="s">
        <v>1727</v>
      </c>
      <c r="AC20" s="77" t="b">
        <v>0</v>
      </c>
      <c r="AD20" s="77" t="b">
        <v>1</v>
      </c>
      <c r="AO20" s="81">
        <v>19</v>
      </c>
      <c r="AP20" s="81" t="str">
        <f t="shared" ca="1" si="0"/>
        <v>----</v>
      </c>
      <c r="AQ20" s="81" t="str">
        <f t="shared" ca="1" si="1"/>
        <v/>
      </c>
      <c r="AR20" s="81" t="str">
        <f t="shared" ca="1" si="2"/>
        <v/>
      </c>
      <c r="AS20" s="81" t="str">
        <f t="shared" ca="1" si="3"/>
        <v/>
      </c>
    </row>
    <row r="21" spans="1:45">
      <c r="A21" s="145" t="s">
        <v>992</v>
      </c>
      <c r="B21" s="145" t="s">
        <v>1789</v>
      </c>
      <c r="C21" s="37" t="s">
        <v>1915</v>
      </c>
      <c r="D21" s="37" t="s">
        <v>633</v>
      </c>
      <c r="E21" s="145" t="s">
        <v>992</v>
      </c>
      <c r="F21" s="77">
        <v>0</v>
      </c>
      <c r="G21" s="77" t="s">
        <v>2393</v>
      </c>
      <c r="H21" s="77">
        <v>0</v>
      </c>
      <c r="M21" s="287"/>
      <c r="P21" s="77" t="s">
        <v>4003</v>
      </c>
      <c r="S21" s="130">
        <v>10208</v>
      </c>
      <c r="T21" s="130" t="s">
        <v>382</v>
      </c>
      <c r="U21" s="130"/>
      <c r="V21" s="130"/>
      <c r="W21" s="130"/>
      <c r="X21" s="130"/>
      <c r="Y21" s="130"/>
      <c r="AA21" s="77">
        <v>20</v>
      </c>
      <c r="AB21" s="77" t="s">
        <v>1728</v>
      </c>
      <c r="AC21" s="77" t="b">
        <v>0</v>
      </c>
      <c r="AD21" s="77" t="b">
        <v>1</v>
      </c>
      <c r="AO21" s="81">
        <v>20</v>
      </c>
      <c r="AP21" s="81" t="str">
        <f t="shared" ca="1" si="0"/>
        <v>----</v>
      </c>
      <c r="AQ21" s="81" t="str">
        <f t="shared" ca="1" si="1"/>
        <v/>
      </c>
      <c r="AR21" s="81" t="str">
        <f t="shared" ca="1" si="2"/>
        <v/>
      </c>
      <c r="AS21" s="81" t="str">
        <f t="shared" ca="1" si="3"/>
        <v/>
      </c>
    </row>
    <row r="22" spans="1:45">
      <c r="A22" s="145" t="s">
        <v>3675</v>
      </c>
      <c r="B22" s="145" t="s">
        <v>820</v>
      </c>
      <c r="C22" s="37" t="s">
        <v>554</v>
      </c>
      <c r="D22" s="37" t="s">
        <v>1836</v>
      </c>
      <c r="E22" s="145" t="s">
        <v>3675</v>
      </c>
      <c r="M22" s="287"/>
      <c r="P22" s="77" t="s">
        <v>4004</v>
      </c>
      <c r="S22" s="130">
        <v>10209</v>
      </c>
      <c r="T22" s="130" t="s">
        <v>3816</v>
      </c>
      <c r="U22" s="130"/>
      <c r="V22" s="130"/>
      <c r="W22" s="130"/>
      <c r="X22" s="130"/>
      <c r="Y22" s="130"/>
      <c r="AA22" s="77">
        <v>21</v>
      </c>
      <c r="AB22" s="77" t="s">
        <v>1729</v>
      </c>
      <c r="AC22" s="77" t="b">
        <v>0</v>
      </c>
      <c r="AD22" s="77" t="b">
        <v>1</v>
      </c>
      <c r="AO22" s="81">
        <v>21</v>
      </c>
      <c r="AP22" s="81" t="str">
        <f t="shared" ca="1" si="0"/>
        <v>----</v>
      </c>
      <c r="AQ22" s="81" t="str">
        <f t="shared" ca="1" si="1"/>
        <v/>
      </c>
      <c r="AR22" s="81" t="str">
        <f t="shared" ca="1" si="2"/>
        <v/>
      </c>
      <c r="AS22" s="81" t="str">
        <f t="shared" ca="1" si="3"/>
        <v/>
      </c>
    </row>
    <row r="23" spans="1:45">
      <c r="A23" s="145" t="s">
        <v>1145</v>
      </c>
      <c r="B23" s="145" t="s">
        <v>1145</v>
      </c>
      <c r="C23" s="145" t="s">
        <v>1145</v>
      </c>
      <c r="D23" s="145" t="s">
        <v>1145</v>
      </c>
      <c r="E23" s="145" t="s">
        <v>1145</v>
      </c>
      <c r="M23" s="287"/>
      <c r="P23" s="77" t="s">
        <v>4005</v>
      </c>
      <c r="S23" s="130">
        <v>10120</v>
      </c>
      <c r="T23" s="130" t="s">
        <v>2694</v>
      </c>
      <c r="U23" s="130"/>
      <c r="V23" s="130"/>
      <c r="W23" s="130"/>
      <c r="X23" s="130"/>
      <c r="Y23" s="130"/>
      <c r="AA23" s="77">
        <v>22</v>
      </c>
      <c r="AB23" s="77" t="s">
        <v>1730</v>
      </c>
      <c r="AC23" s="77" t="b">
        <v>0</v>
      </c>
      <c r="AD23" s="77" t="b">
        <v>1</v>
      </c>
      <c r="AO23" s="81">
        <v>22</v>
      </c>
      <c r="AP23" s="81" t="str">
        <f t="shared" ca="1" si="0"/>
        <v>----</v>
      </c>
      <c r="AQ23" s="81" t="str">
        <f t="shared" ca="1" si="1"/>
        <v/>
      </c>
      <c r="AR23" s="81" t="str">
        <f t="shared" ca="1" si="2"/>
        <v/>
      </c>
      <c r="AS23" s="81" t="str">
        <f t="shared" ca="1" si="3"/>
        <v/>
      </c>
    </row>
    <row r="24" spans="1:45">
      <c r="A24" s="145" t="s">
        <v>1224</v>
      </c>
      <c r="B24" s="145" t="s">
        <v>1224</v>
      </c>
      <c r="C24" s="145" t="s">
        <v>1224</v>
      </c>
      <c r="D24" s="145" t="s">
        <v>1225</v>
      </c>
      <c r="E24" s="145" t="s">
        <v>1144</v>
      </c>
      <c r="M24" s="287"/>
      <c r="P24" s="77" t="s">
        <v>4006</v>
      </c>
      <c r="S24" s="77">
        <v>10198</v>
      </c>
      <c r="T24" s="77" t="s">
        <v>2783</v>
      </c>
      <c r="U24" s="130"/>
      <c r="V24" s="130"/>
      <c r="W24" s="130"/>
      <c r="X24" s="130"/>
      <c r="Y24" s="130"/>
      <c r="AA24" s="77">
        <v>23</v>
      </c>
      <c r="AB24" s="77" t="s">
        <v>1731</v>
      </c>
      <c r="AC24" s="77" t="b">
        <v>0</v>
      </c>
      <c r="AD24" s="77" t="b">
        <v>1</v>
      </c>
      <c r="AO24" s="81">
        <v>23</v>
      </c>
      <c r="AP24" s="81" t="str">
        <f t="shared" ca="1" si="0"/>
        <v>----</v>
      </c>
      <c r="AQ24" s="81" t="str">
        <f t="shared" ca="1" si="1"/>
        <v/>
      </c>
      <c r="AR24" s="81" t="str">
        <f t="shared" ca="1" si="2"/>
        <v/>
      </c>
      <c r="AS24" s="81" t="str">
        <f t="shared" ca="1" si="3"/>
        <v/>
      </c>
    </row>
    <row r="25" spans="1:45" ht="13.5" thickBot="1">
      <c r="A25" s="82" t="s">
        <v>2019</v>
      </c>
      <c r="C25" s="82"/>
      <c r="M25" s="287"/>
      <c r="S25" s="77">
        <v>10195</v>
      </c>
      <c r="T25" s="77" t="s">
        <v>49</v>
      </c>
      <c r="U25" s="130"/>
      <c r="V25" s="130"/>
      <c r="W25" s="130"/>
      <c r="X25" s="130"/>
      <c r="Y25" s="130"/>
      <c r="AA25" s="77">
        <v>24</v>
      </c>
      <c r="AB25" s="77" t="s">
        <v>1732</v>
      </c>
      <c r="AC25" s="77" t="b">
        <v>0</v>
      </c>
      <c r="AD25" s="77" t="b">
        <v>1</v>
      </c>
      <c r="AO25" s="81">
        <v>24</v>
      </c>
      <c r="AP25" s="81" t="str">
        <f t="shared" ca="1" si="0"/>
        <v>----</v>
      </c>
      <c r="AQ25" s="81" t="str">
        <f t="shared" ca="1" si="1"/>
        <v/>
      </c>
      <c r="AR25" s="81" t="str">
        <f t="shared" ca="1" si="2"/>
        <v/>
      </c>
      <c r="AS25" s="81" t="str">
        <f t="shared" ca="1" si="3"/>
        <v/>
      </c>
    </row>
    <row r="26" spans="1:45" ht="13.5" thickBot="1">
      <c r="A26" s="85" t="s">
        <v>856</v>
      </c>
      <c r="B26" s="92">
        <v>10001</v>
      </c>
      <c r="C26" s="93" t="str">
        <f>VLOOKUP(B26,Robotlist,2, FALSE)</f>
        <v>R-2000iB/210F</v>
      </c>
      <c r="S26" s="77">
        <v>10122</v>
      </c>
      <c r="T26" s="77" t="s">
        <v>576</v>
      </c>
      <c r="U26" s="130"/>
      <c r="V26" s="130"/>
      <c r="W26" s="130"/>
      <c r="X26" s="130"/>
      <c r="Y26" s="130"/>
      <c r="AA26" s="77">
        <v>25</v>
      </c>
      <c r="AB26" s="77" t="s">
        <v>1733</v>
      </c>
      <c r="AC26" s="77" t="b">
        <v>0</v>
      </c>
      <c r="AD26" s="77" t="b">
        <v>1</v>
      </c>
      <c r="AO26" s="81">
        <v>25</v>
      </c>
      <c r="AP26" s="81" t="str">
        <f t="shared" ca="1" si="0"/>
        <v>----</v>
      </c>
      <c r="AQ26" s="81" t="str">
        <f t="shared" ca="1" si="1"/>
        <v/>
      </c>
      <c r="AR26" s="81" t="str">
        <f t="shared" ca="1" si="2"/>
        <v/>
      </c>
      <c r="AS26" s="81" t="str">
        <f t="shared" ca="1" si="3"/>
        <v/>
      </c>
    </row>
    <row r="27" spans="1:45" ht="13.5" thickBot="1">
      <c r="A27" s="85" t="s">
        <v>3558</v>
      </c>
      <c r="B27" s="262">
        <v>1</v>
      </c>
      <c r="C27" s="261" t="str">
        <f>IF(Anal_Flange_Code=1,D27,IF(Anal_Flange_Code=2,D28))</f>
        <v>J5 Offset (Standard Flange)</v>
      </c>
      <c r="D27" s="3" t="s">
        <v>3348</v>
      </c>
      <c r="E27" s="3"/>
      <c r="S27" s="77">
        <v>10197</v>
      </c>
      <c r="T27" s="77" t="s">
        <v>3641</v>
      </c>
      <c r="U27" s="130"/>
      <c r="V27" s="130"/>
      <c r="W27" s="130"/>
      <c r="X27" s="130"/>
      <c r="Y27" s="130"/>
      <c r="AA27" s="77">
        <v>26</v>
      </c>
      <c r="AB27" s="77" t="s">
        <v>1734</v>
      </c>
      <c r="AC27" s="77" t="b">
        <v>0</v>
      </c>
      <c r="AD27" s="77" t="b">
        <v>1</v>
      </c>
      <c r="AO27" s="81">
        <v>26</v>
      </c>
      <c r="AP27" s="81" t="str">
        <f t="shared" ca="1" si="0"/>
        <v>----</v>
      </c>
      <c r="AQ27" s="81" t="str">
        <f t="shared" ca="1" si="1"/>
        <v/>
      </c>
      <c r="AR27" s="81" t="str">
        <f t="shared" ca="1" si="2"/>
        <v/>
      </c>
      <c r="AS27" s="81" t="str">
        <f t="shared" ca="1" si="3"/>
        <v/>
      </c>
    </row>
    <row r="28" spans="1:45">
      <c r="A28" s="203"/>
      <c r="B28" s="203"/>
      <c r="C28"/>
      <c r="D28" s="77" t="s">
        <v>4007</v>
      </c>
      <c r="E28" s="205"/>
      <c r="S28" s="77">
        <v>119</v>
      </c>
      <c r="T28" s="77" t="s">
        <v>2456</v>
      </c>
      <c r="U28" s="130"/>
      <c r="V28" s="130"/>
      <c r="W28" s="130"/>
      <c r="X28" s="130"/>
      <c r="Y28" s="130"/>
      <c r="AA28" s="77">
        <v>27</v>
      </c>
      <c r="AB28" s="77" t="s">
        <v>1735</v>
      </c>
      <c r="AC28" s="77" t="b">
        <v>0</v>
      </c>
      <c r="AD28" s="77" t="b">
        <v>1</v>
      </c>
      <c r="AO28" s="81">
        <v>27</v>
      </c>
      <c r="AP28" s="81" t="str">
        <f t="shared" ca="1" si="0"/>
        <v>----</v>
      </c>
      <c r="AQ28" s="81" t="str">
        <f t="shared" ca="1" si="1"/>
        <v/>
      </c>
      <c r="AR28" s="81" t="str">
        <f t="shared" ca="1" si="2"/>
        <v/>
      </c>
      <c r="AS28" s="81" t="str">
        <f t="shared" ca="1" si="3"/>
        <v/>
      </c>
    </row>
    <row r="29" spans="1:45">
      <c r="A29" s="448"/>
      <c r="B29" s="204"/>
      <c r="C29" s="449"/>
      <c r="D29" s="185"/>
      <c r="E29" s="204"/>
      <c r="S29" s="130">
        <v>10039</v>
      </c>
      <c r="T29" s="130" t="s">
        <v>1991</v>
      </c>
      <c r="U29" s="130"/>
      <c r="V29" s="130"/>
      <c r="W29" s="130"/>
      <c r="X29" s="130"/>
      <c r="Y29" s="130"/>
      <c r="AA29" s="77">
        <v>28</v>
      </c>
      <c r="AB29" s="77" t="s">
        <v>1736</v>
      </c>
      <c r="AC29" s="77" t="b">
        <v>0</v>
      </c>
      <c r="AD29" s="77" t="b">
        <v>1</v>
      </c>
      <c r="AO29" s="81">
        <v>28</v>
      </c>
      <c r="AP29" s="81" t="str">
        <f t="shared" ca="1" si="0"/>
        <v>----</v>
      </c>
      <c r="AQ29" s="81" t="str">
        <f t="shared" ca="1" si="1"/>
        <v/>
      </c>
      <c r="AR29" s="81" t="str">
        <f t="shared" ca="1" si="2"/>
        <v/>
      </c>
      <c r="AS29" s="81" t="str">
        <f t="shared" ca="1" si="3"/>
        <v/>
      </c>
    </row>
    <row r="30" spans="1:45">
      <c r="A30" s="185"/>
      <c r="B30" s="204"/>
      <c r="C30" s="183"/>
      <c r="D30" s="185"/>
      <c r="E30" s="204"/>
      <c r="S30" s="77">
        <v>10042</v>
      </c>
      <c r="T30" s="77" t="s">
        <v>1022</v>
      </c>
      <c r="U30" s="130"/>
      <c r="V30" s="130"/>
      <c r="W30" s="130"/>
      <c r="X30" s="130"/>
      <c r="Y30" s="130"/>
      <c r="AA30" s="77">
        <v>29</v>
      </c>
      <c r="AB30" s="77" t="s">
        <v>1737</v>
      </c>
      <c r="AC30" s="77" t="b">
        <v>0</v>
      </c>
      <c r="AD30" s="77" t="b">
        <v>1</v>
      </c>
      <c r="AO30" s="81">
        <v>29</v>
      </c>
      <c r="AP30" s="81" t="str">
        <f t="shared" ca="1" si="0"/>
        <v>----</v>
      </c>
      <c r="AQ30" s="81" t="str">
        <f t="shared" ca="1" si="1"/>
        <v/>
      </c>
      <c r="AR30" s="81" t="str">
        <f t="shared" ca="1" si="2"/>
        <v/>
      </c>
      <c r="AS30" s="81" t="str">
        <f t="shared" ca="1" si="3"/>
        <v/>
      </c>
    </row>
    <row r="31" spans="1:45">
      <c r="A31" s="185"/>
      <c r="B31" s="204"/>
      <c r="C31"/>
      <c r="D31" s="185"/>
      <c r="E31" s="204"/>
      <c r="S31" s="130">
        <v>10073</v>
      </c>
      <c r="T31" s="130" t="s">
        <v>99</v>
      </c>
      <c r="U31" s="130"/>
      <c r="V31" s="130"/>
      <c r="W31" s="130"/>
      <c r="X31" s="130"/>
      <c r="Y31" s="130"/>
      <c r="AA31" s="77">
        <v>30</v>
      </c>
      <c r="AB31" s="77" t="s">
        <v>1738</v>
      </c>
      <c r="AC31" s="77" t="b">
        <v>0</v>
      </c>
      <c r="AD31" s="77" t="b">
        <v>1</v>
      </c>
      <c r="AO31" s="81">
        <v>30</v>
      </c>
      <c r="AP31" s="81" t="str">
        <f t="shared" ca="1" si="0"/>
        <v>----</v>
      </c>
      <c r="AQ31" s="81" t="str">
        <f t="shared" ca="1" si="1"/>
        <v/>
      </c>
      <c r="AR31" s="81" t="str">
        <f t="shared" ca="1" si="2"/>
        <v/>
      </c>
      <c r="AS31" s="81" t="str">
        <f t="shared" ca="1" si="3"/>
        <v/>
      </c>
    </row>
    <row r="32" spans="1:45">
      <c r="A32" s="448"/>
      <c r="B32" s="204"/>
      <c r="C32" s="449"/>
      <c r="D32" s="185"/>
      <c r="E32" s="204"/>
      <c r="S32" s="130">
        <v>10182</v>
      </c>
      <c r="T32" s="130" t="s">
        <v>406</v>
      </c>
      <c r="U32" s="130"/>
      <c r="V32" s="130"/>
      <c r="W32" s="130"/>
      <c r="X32" s="130"/>
      <c r="Y32" s="130"/>
      <c r="AA32" s="77">
        <v>31</v>
      </c>
      <c r="AB32" s="77" t="s">
        <v>2204</v>
      </c>
      <c r="AC32" s="77" t="b">
        <v>0</v>
      </c>
      <c r="AD32" s="77" t="b">
        <v>1</v>
      </c>
      <c r="AO32" s="81">
        <v>31</v>
      </c>
      <c r="AP32" s="81" t="str">
        <f t="shared" ca="1" si="0"/>
        <v>----</v>
      </c>
      <c r="AQ32" s="81" t="str">
        <f t="shared" ca="1" si="1"/>
        <v/>
      </c>
      <c r="AR32" s="81" t="str">
        <f t="shared" ca="1" si="2"/>
        <v/>
      </c>
      <c r="AS32" s="81" t="str">
        <f t="shared" ca="1" si="3"/>
        <v/>
      </c>
    </row>
    <row r="33" spans="1:45">
      <c r="A33" s="185"/>
      <c r="B33" s="204"/>
      <c r="C33" s="183"/>
      <c r="D33" s="185"/>
      <c r="E33" s="204"/>
      <c r="S33" s="77">
        <v>10074</v>
      </c>
      <c r="T33" s="77" t="s">
        <v>2373</v>
      </c>
      <c r="U33" s="130"/>
      <c r="V33" s="130"/>
      <c r="W33" s="130"/>
      <c r="X33" s="130"/>
      <c r="Y33" s="130"/>
      <c r="AA33" s="77">
        <v>32</v>
      </c>
      <c r="AB33" s="77" t="s">
        <v>1739</v>
      </c>
      <c r="AC33" s="77" t="b">
        <v>0</v>
      </c>
      <c r="AD33" s="77" t="b">
        <v>1</v>
      </c>
      <c r="AO33" s="81">
        <v>32</v>
      </c>
      <c r="AP33" s="81" t="str">
        <f t="shared" ca="1" si="0"/>
        <v>----</v>
      </c>
      <c r="AQ33" s="81" t="str">
        <f t="shared" ca="1" si="1"/>
        <v/>
      </c>
      <c r="AR33" s="81" t="str">
        <f t="shared" ca="1" si="2"/>
        <v/>
      </c>
      <c r="AS33" s="81" t="str">
        <f t="shared" ca="1" si="3"/>
        <v/>
      </c>
    </row>
    <row r="34" spans="1:45" ht="13.5" thickBot="1">
      <c r="A34" s="185"/>
      <c r="B34" s="204"/>
      <c r="C34"/>
      <c r="D34" s="185"/>
      <c r="E34" s="204"/>
      <c r="S34" s="77">
        <v>10183</v>
      </c>
      <c r="T34" s="77" t="s">
        <v>2306</v>
      </c>
      <c r="U34" s="130"/>
      <c r="V34" s="130"/>
      <c r="W34" s="130"/>
      <c r="X34" s="130"/>
      <c r="Y34" s="130"/>
      <c r="AA34" s="77">
        <v>33</v>
      </c>
      <c r="AB34" s="77" t="s">
        <v>1740</v>
      </c>
      <c r="AC34" s="77" t="b">
        <v>0</v>
      </c>
      <c r="AD34" s="77" t="b">
        <v>1</v>
      </c>
      <c r="AO34" s="81">
        <v>33</v>
      </c>
      <c r="AP34" s="81" t="str">
        <f t="shared" ref="AP34:AP65" ca="1" si="4">IF(OR(OFFSET(Summ_Robot_Code,$AO34-1,0)="",OFFSET(Summ_Robot_Code,$AO34-1,0)=""),"----","Used")</f>
        <v>----</v>
      </c>
      <c r="AQ34" s="81" t="str">
        <f t="shared" ref="AQ34:AQ65" ca="1" si="5">IF(OFFSET(Summ_Data_1,$AO34-1,0)="","",OFFSET(Summ_Data_1,$AO34-1,0))</f>
        <v/>
      </c>
      <c r="AR34" s="81" t="str">
        <f t="shared" ref="AR34:AR65" ca="1" si="6">IF(OFFSET(Summ_Data_1,$AO34-1,1)="","",OFFSET(Summ_Data_1,$AO34-1,1))</f>
        <v/>
      </c>
      <c r="AS34" s="81" t="str">
        <f t="shared" ref="AS34:AS65" ca="1" si="7">IF(OFFSET(Summ_Data_1,$AO34-1,3)="","",OFFSET(Summ_Data_1,$AO34-1,3))</f>
        <v/>
      </c>
    </row>
    <row r="35" spans="1:45" ht="13.5" thickBot="1">
      <c r="A35" s="288" t="s">
        <v>2761</v>
      </c>
      <c r="B35" s="310">
        <v>0</v>
      </c>
      <c r="C35" s="289" t="str">
        <f>IF(P_Pas_status=1,"Unprotect","Protect")</f>
        <v>Protect</v>
      </c>
      <c r="D35" s="185"/>
      <c r="E35" s="204"/>
      <c r="S35" s="77">
        <v>10186</v>
      </c>
      <c r="T35" s="77" t="s">
        <v>3225</v>
      </c>
      <c r="U35" s="130"/>
      <c r="V35" s="130"/>
      <c r="W35" s="130"/>
      <c r="X35" s="130"/>
      <c r="Y35" s="130"/>
      <c r="AA35" s="77">
        <v>34</v>
      </c>
      <c r="AB35" s="77" t="s">
        <v>1761</v>
      </c>
      <c r="AC35" s="77" t="b">
        <v>0</v>
      </c>
      <c r="AD35" s="77" t="b">
        <v>1</v>
      </c>
      <c r="AO35" s="81">
        <v>34</v>
      </c>
      <c r="AP35" s="81" t="str">
        <f t="shared" ca="1" si="4"/>
        <v>----</v>
      </c>
      <c r="AQ35" s="81" t="str">
        <f t="shared" ca="1" si="5"/>
        <v/>
      </c>
      <c r="AR35" s="81" t="str">
        <f t="shared" ca="1" si="6"/>
        <v/>
      </c>
      <c r="AS35" s="81" t="str">
        <f t="shared" ca="1" si="7"/>
        <v/>
      </c>
    </row>
    <row r="36" spans="1:45">
      <c r="A36" s="185" t="s">
        <v>2027</v>
      </c>
      <c r="B36" s="204"/>
      <c r="C36"/>
      <c r="D36" s="185"/>
      <c r="E36" s="204"/>
      <c r="S36" s="130">
        <v>10187</v>
      </c>
      <c r="T36" s="130" t="s">
        <v>3357</v>
      </c>
      <c r="U36" s="130"/>
      <c r="V36" s="130"/>
      <c r="W36" s="130"/>
      <c r="X36" s="130"/>
      <c r="Y36" s="130"/>
      <c r="AA36" s="77">
        <v>35</v>
      </c>
      <c r="AB36" s="77" t="s">
        <v>1741</v>
      </c>
      <c r="AC36" s="77" t="b">
        <v>0</v>
      </c>
      <c r="AD36" s="77" t="b">
        <v>1</v>
      </c>
      <c r="AO36" s="81">
        <v>35</v>
      </c>
      <c r="AP36" s="81" t="str">
        <f t="shared" ca="1" si="4"/>
        <v>----</v>
      </c>
      <c r="AQ36" s="81" t="str">
        <f t="shared" ca="1" si="5"/>
        <v/>
      </c>
      <c r="AR36" s="81" t="str">
        <f t="shared" ca="1" si="6"/>
        <v/>
      </c>
      <c r="AS36" s="81" t="str">
        <f t="shared" ca="1" si="7"/>
        <v/>
      </c>
    </row>
    <row r="37" spans="1:45">
      <c r="A37" s="185"/>
      <c r="B37" s="204"/>
      <c r="C37"/>
      <c r="D37" s="185"/>
      <c r="E37" s="204"/>
      <c r="S37" s="130">
        <v>10091</v>
      </c>
      <c r="T37" s="130" t="s">
        <v>3195</v>
      </c>
      <c r="U37" s="130"/>
      <c r="V37" s="130"/>
      <c r="W37" s="130"/>
      <c r="X37" s="130"/>
      <c r="Y37" s="130"/>
      <c r="AA37" s="77">
        <v>36</v>
      </c>
      <c r="AB37" s="77" t="s">
        <v>1742</v>
      </c>
      <c r="AC37" s="77" t="b">
        <v>0</v>
      </c>
      <c r="AD37" s="77" t="b">
        <v>1</v>
      </c>
      <c r="AO37" s="81">
        <v>36</v>
      </c>
      <c r="AP37" s="81" t="str">
        <f t="shared" ca="1" si="4"/>
        <v>----</v>
      </c>
      <c r="AQ37" s="81" t="str">
        <f t="shared" ca="1" si="5"/>
        <v/>
      </c>
      <c r="AR37" s="81" t="str">
        <f t="shared" ca="1" si="6"/>
        <v/>
      </c>
      <c r="AS37" s="81" t="str">
        <f t="shared" ca="1" si="7"/>
        <v/>
      </c>
    </row>
    <row r="38" spans="1:45" ht="13.5" thickBot="1">
      <c r="A38" s="185"/>
      <c r="B38" s="204">
        <f>IF(Anal_Payload_Code=1,1,IF(Anal_Payload_Code=2,1,IF(Anal_Payload_Code=3,0,IF(Anal_Payload_Code=4,0))))</f>
        <v>1</v>
      </c>
      <c r="C38" t="str">
        <f>IF(B38=1,"cofg","AXIS")</f>
        <v>cofg</v>
      </c>
      <c r="D38" s="185"/>
      <c r="E38" s="204"/>
      <c r="S38" s="130">
        <v>10184</v>
      </c>
      <c r="T38" s="130" t="s">
        <v>8</v>
      </c>
      <c r="U38" s="130"/>
      <c r="V38" s="130"/>
      <c r="W38" s="130"/>
      <c r="X38" s="130"/>
      <c r="Y38" s="130"/>
      <c r="AA38" s="77">
        <v>37</v>
      </c>
      <c r="AB38" s="77" t="s">
        <v>1743</v>
      </c>
      <c r="AC38" s="77" t="b">
        <v>0</v>
      </c>
      <c r="AD38" s="77" t="b">
        <v>1</v>
      </c>
      <c r="AO38" s="81">
        <v>37</v>
      </c>
      <c r="AP38" s="81" t="str">
        <f t="shared" ca="1" si="4"/>
        <v>----</v>
      </c>
      <c r="AQ38" s="81" t="str">
        <f t="shared" ca="1" si="5"/>
        <v/>
      </c>
      <c r="AR38" s="81" t="str">
        <f t="shared" ca="1" si="6"/>
        <v/>
      </c>
      <c r="AS38" s="81" t="str">
        <f t="shared" ca="1" si="7"/>
        <v/>
      </c>
    </row>
    <row r="39" spans="1:45" ht="13.5" thickBot="1">
      <c r="A39" s="333" t="s">
        <v>3716</v>
      </c>
      <c r="B39" s="204">
        <f>IF(Anal_Robot_Code&lt;&gt;9999,IF(B38=1,1,0),IF(Anal_Robot_Code=9999,IF(B38=1,2,0)))</f>
        <v>1</v>
      </c>
      <c r="C39" t="str">
        <f>IF(B39=1,"6axis cofg",IF(B39=2,"F-200i cofg","AXIS"))</f>
        <v>6axis cofg</v>
      </c>
      <c r="D39" s="185"/>
      <c r="E39" s="204"/>
      <c r="S39" s="130">
        <v>10097</v>
      </c>
      <c r="T39" s="130" t="s">
        <v>3007</v>
      </c>
      <c r="U39" s="130"/>
      <c r="V39" s="130"/>
      <c r="W39" s="130"/>
      <c r="X39" s="130"/>
      <c r="Y39" s="130"/>
      <c r="AA39" s="77">
        <v>38</v>
      </c>
      <c r="AB39" s="77" t="s">
        <v>1744</v>
      </c>
      <c r="AC39" s="77" t="b">
        <v>0</v>
      </c>
      <c r="AD39" s="77" t="b">
        <v>1</v>
      </c>
      <c r="AO39" s="81">
        <v>38</v>
      </c>
      <c r="AP39" s="81" t="str">
        <f t="shared" ca="1" si="4"/>
        <v>----</v>
      </c>
      <c r="AQ39" s="81" t="str">
        <f t="shared" ca="1" si="5"/>
        <v/>
      </c>
      <c r="AR39" s="81" t="str">
        <f t="shared" ca="1" si="6"/>
        <v/>
      </c>
      <c r="AS39" s="81" t="str">
        <f t="shared" ca="1" si="7"/>
        <v/>
      </c>
    </row>
    <row r="40" spans="1:45">
      <c r="A40" s="332" t="s">
        <v>182</v>
      </c>
      <c r="B40" s="2">
        <f>IF(B39=1,ROUND(Anal_Input_1,3),IF(B39=2,ROUND(F2_Input_1,3)))</f>
        <v>115</v>
      </c>
      <c r="C40"/>
      <c r="D40" s="186"/>
      <c r="S40" s="130">
        <v>10102</v>
      </c>
      <c r="T40" s="130" t="s">
        <v>3733</v>
      </c>
      <c r="U40" s="130"/>
      <c r="V40" s="130"/>
      <c r="W40" s="130"/>
      <c r="X40" s="130"/>
      <c r="Y40" s="130"/>
      <c r="AA40" s="77">
        <v>39</v>
      </c>
      <c r="AB40" s="77" t="s">
        <v>1745</v>
      </c>
      <c r="AC40" s="77" t="b">
        <v>0</v>
      </c>
      <c r="AD40" s="77" t="b">
        <v>1</v>
      </c>
      <c r="AO40" s="81">
        <v>39</v>
      </c>
      <c r="AP40" s="81" t="str">
        <f t="shared" ca="1" si="4"/>
        <v>----</v>
      </c>
      <c r="AQ40" s="81" t="str">
        <f t="shared" ca="1" si="5"/>
        <v/>
      </c>
      <c r="AR40" s="81" t="str">
        <f t="shared" ca="1" si="6"/>
        <v/>
      </c>
      <c r="AS40" s="81" t="str">
        <f t="shared" ca="1" si="7"/>
        <v/>
      </c>
    </row>
    <row r="41" spans="1:45">
      <c r="A41" s="145" t="s">
        <v>2001</v>
      </c>
      <c r="B41" s="2">
        <f>IF($B$39=1,IF(Anal_Payload_Code=2,Anal_Input_2,ROUND(Anal_Input_2*100,3)),IF($B$39=2,IF(Anal_Payload_Code=2,F2_Input_2,ROUND(F2_Input_2*100,3))))</f>
        <v>-8.92</v>
      </c>
      <c r="C41"/>
      <c r="D41" s="186"/>
      <c r="S41" s="130">
        <v>10218</v>
      </c>
      <c r="T41" s="130" t="s">
        <v>3670</v>
      </c>
      <c r="U41" s="130"/>
      <c r="V41" s="130"/>
      <c r="W41" s="130"/>
      <c r="X41" s="130"/>
      <c r="Y41" s="130"/>
      <c r="AA41" s="77">
        <v>40</v>
      </c>
      <c r="AB41" s="77" t="s">
        <v>1743</v>
      </c>
      <c r="AC41" s="77" t="b">
        <v>0</v>
      </c>
      <c r="AD41" s="77" t="b">
        <v>1</v>
      </c>
      <c r="AO41" s="81">
        <v>40</v>
      </c>
      <c r="AP41" s="81" t="str">
        <f t="shared" ca="1" si="4"/>
        <v>----</v>
      </c>
      <c r="AQ41" s="81" t="str">
        <f t="shared" ca="1" si="5"/>
        <v/>
      </c>
      <c r="AR41" s="81" t="str">
        <f t="shared" ca="1" si="6"/>
        <v/>
      </c>
      <c r="AS41" s="81" t="str">
        <f t="shared" ca="1" si="7"/>
        <v/>
      </c>
    </row>
    <row r="42" spans="1:45">
      <c r="A42" s="145" t="s">
        <v>630</v>
      </c>
      <c r="B42" s="2">
        <f>IF($B$39=1,IF(Anal_Payload_Code=2,Anal_Input_3,ROUND(Anal_Input_3*100,3)),IF($B$39=2,IF(Anal_Payload_Code=2,F2_Input_3,ROUND(F2_Input_3*100,3))))</f>
        <v>0.374</v>
      </c>
      <c r="C42"/>
      <c r="D42" s="186"/>
      <c r="S42" s="130">
        <v>46</v>
      </c>
      <c r="T42" s="130" t="s">
        <v>797</v>
      </c>
      <c r="U42" s="130"/>
      <c r="V42" s="130"/>
      <c r="W42" s="130"/>
      <c r="X42" s="130"/>
      <c r="Y42" s="130"/>
      <c r="AA42" s="77">
        <v>41</v>
      </c>
      <c r="AB42" s="77" t="s">
        <v>1744</v>
      </c>
      <c r="AC42" s="77" t="b">
        <v>0</v>
      </c>
      <c r="AD42" s="77" t="b">
        <v>1</v>
      </c>
      <c r="AO42" s="81">
        <v>41</v>
      </c>
      <c r="AP42" s="81" t="str">
        <f t="shared" ca="1" si="4"/>
        <v>----</v>
      </c>
      <c r="AQ42" s="81" t="str">
        <f t="shared" ca="1" si="5"/>
        <v/>
      </c>
      <c r="AR42" s="81" t="str">
        <f t="shared" ca="1" si="6"/>
        <v/>
      </c>
      <c r="AS42" s="81" t="str">
        <f t="shared" ca="1" si="7"/>
        <v/>
      </c>
    </row>
    <row r="43" spans="1:45">
      <c r="A43" s="145" t="s">
        <v>631</v>
      </c>
      <c r="B43" s="2">
        <f>IF($B$39=1,IF(Anal_Payload_Code=2,Anal_Input_4,ROUND(Anal_Input_4*100,3)),IF($B$39=2,IF(Anal_Payload_Code=2,F2_Input_4,ROUND(F2_Input_4*100,3))))</f>
        <v>18.475000000000001</v>
      </c>
      <c r="C43" s="3"/>
      <c r="D43" s="186"/>
      <c r="S43" s="130">
        <v>44</v>
      </c>
      <c r="T43" s="130" t="s">
        <v>160</v>
      </c>
      <c r="U43" s="130"/>
      <c r="V43" s="130"/>
      <c r="W43" s="130"/>
      <c r="X43" s="130"/>
      <c r="Y43" s="130"/>
      <c r="AA43" s="77">
        <v>42</v>
      </c>
      <c r="AB43" s="77" t="s">
        <v>1745</v>
      </c>
      <c r="AC43" s="77" t="b">
        <v>0</v>
      </c>
      <c r="AD43" s="77" t="b">
        <v>1</v>
      </c>
      <c r="AO43" s="81">
        <v>42</v>
      </c>
      <c r="AP43" s="81" t="str">
        <f t="shared" ca="1" si="4"/>
        <v>----</v>
      </c>
      <c r="AQ43" s="81" t="str">
        <f t="shared" ca="1" si="5"/>
        <v/>
      </c>
      <c r="AR43" s="81" t="str">
        <f t="shared" ca="1" si="6"/>
        <v/>
      </c>
      <c r="AS43" s="81" t="str">
        <f t="shared" ca="1" si="7"/>
        <v/>
      </c>
    </row>
    <row r="44" spans="1:45">
      <c r="A44" s="145" t="s">
        <v>632</v>
      </c>
      <c r="B44" s="2">
        <f>IF($B$39=1,IF(Anal_Payload_Code=2,Anal_Input_5,ROUND(Anal_Input_5*100/9.8,3)),IF($B$39=2,IF(Anal_Payload_Code=2,F2_Input_5,ROUND(F2_Input_5*100/9.8,3))))</f>
        <v>147.595</v>
      </c>
      <c r="D44" s="186"/>
      <c r="S44" s="130">
        <v>45</v>
      </c>
      <c r="T44" s="130" t="s">
        <v>3091</v>
      </c>
      <c r="U44" s="130"/>
      <c r="V44" s="130"/>
      <c r="W44" s="130"/>
      <c r="X44" s="130"/>
      <c r="Y44" s="130"/>
      <c r="AA44" s="77">
        <v>43</v>
      </c>
      <c r="AB44" s="77" t="s">
        <v>1746</v>
      </c>
      <c r="AC44" s="77" t="b">
        <v>0</v>
      </c>
      <c r="AD44" s="77" t="b">
        <v>1</v>
      </c>
      <c r="AO44" s="81">
        <v>43</v>
      </c>
      <c r="AP44" s="81" t="str">
        <f t="shared" ca="1" si="4"/>
        <v>----</v>
      </c>
      <c r="AQ44" s="81" t="str">
        <f t="shared" ca="1" si="5"/>
        <v/>
      </c>
      <c r="AR44" s="81" t="str">
        <f t="shared" ca="1" si="6"/>
        <v/>
      </c>
      <c r="AS44" s="81" t="str">
        <f t="shared" ca="1" si="7"/>
        <v/>
      </c>
    </row>
    <row r="45" spans="1:45">
      <c r="A45" s="145" t="s">
        <v>1789</v>
      </c>
      <c r="B45" s="2">
        <f>IF($B$39=1,IF(Anal_Payload_Code=2,Anal_Input_6,ROUND(Anal_Input_6*100/9.8,3)),IF($B$39=2,IF(Anal_Payload_Code=2,F2_Input_6,ROUND(F2_Input_6*100/9.8,3))))</f>
        <v>115.547</v>
      </c>
      <c r="D45" s="185"/>
      <c r="E45" s="204"/>
      <c r="S45" s="77">
        <v>10053</v>
      </c>
      <c r="T45" s="77" t="s">
        <v>2737</v>
      </c>
      <c r="U45" s="130"/>
      <c r="V45" s="130"/>
      <c r="W45" s="130"/>
      <c r="X45" s="130"/>
      <c r="Y45" s="130"/>
      <c r="AA45" s="77">
        <v>44</v>
      </c>
      <c r="AB45" s="77" t="s">
        <v>1747</v>
      </c>
      <c r="AC45" s="77" t="b">
        <v>0</v>
      </c>
      <c r="AD45" s="77" t="b">
        <v>1</v>
      </c>
      <c r="AO45" s="81">
        <v>44</v>
      </c>
      <c r="AP45" s="81" t="str">
        <f t="shared" ca="1" si="4"/>
        <v>----</v>
      </c>
      <c r="AQ45" s="81" t="str">
        <f t="shared" ca="1" si="5"/>
        <v/>
      </c>
      <c r="AR45" s="81" t="str">
        <f t="shared" ca="1" si="6"/>
        <v/>
      </c>
      <c r="AS45" s="81" t="str">
        <f t="shared" ca="1" si="7"/>
        <v/>
      </c>
    </row>
    <row r="46" spans="1:45">
      <c r="A46" s="145" t="s">
        <v>820</v>
      </c>
      <c r="B46" s="2">
        <f>IF($B$39=1,IF(Anal_Payload_Code=2,Anal_Input_7,ROUND(Anal_Input_7*100/9.8,3)),IF($B$39=2,IF(Anal_Payload_Code=2,F2_Input_7,ROUND(F2_Input_7*100/9.8,3))))</f>
        <v>77.305000000000007</v>
      </c>
      <c r="D46" s="185"/>
      <c r="E46" s="204"/>
      <c r="S46" s="77">
        <v>10054</v>
      </c>
      <c r="T46" s="77" t="s">
        <v>355</v>
      </c>
      <c r="U46" s="130"/>
      <c r="V46" s="130"/>
      <c r="W46" s="130"/>
      <c r="X46" s="130"/>
      <c r="Y46" s="130"/>
      <c r="AA46" s="77">
        <v>45</v>
      </c>
      <c r="AB46" s="77" t="s">
        <v>1748</v>
      </c>
      <c r="AC46" s="77" t="b">
        <v>0</v>
      </c>
      <c r="AD46" s="77" t="b">
        <v>1</v>
      </c>
      <c r="AO46" s="81">
        <v>45</v>
      </c>
      <c r="AP46" s="81" t="str">
        <f t="shared" ca="1" si="4"/>
        <v>----</v>
      </c>
      <c r="AQ46" s="81" t="str">
        <f t="shared" ca="1" si="5"/>
        <v/>
      </c>
      <c r="AR46" s="81" t="str">
        <f t="shared" ca="1" si="6"/>
        <v/>
      </c>
      <c r="AS46" s="81" t="str">
        <f t="shared" ca="1" si="7"/>
        <v/>
      </c>
    </row>
    <row r="47" spans="1:45" ht="13.5" thickBot="1">
      <c r="A47" s="186"/>
      <c r="S47" s="77">
        <v>10098</v>
      </c>
      <c r="T47" s="77" t="s">
        <v>468</v>
      </c>
      <c r="U47" s="130"/>
      <c r="V47" s="130"/>
      <c r="W47" s="130"/>
      <c r="X47" s="130"/>
      <c r="Y47" s="130"/>
      <c r="AA47" s="77">
        <v>46</v>
      </c>
      <c r="AB47" s="77" t="s">
        <v>1749</v>
      </c>
      <c r="AC47" s="77" t="b">
        <v>0</v>
      </c>
      <c r="AD47" s="77" t="b">
        <v>1</v>
      </c>
      <c r="AO47" s="81">
        <v>46</v>
      </c>
      <c r="AP47" s="81" t="str">
        <f t="shared" ca="1" si="4"/>
        <v>----</v>
      </c>
      <c r="AQ47" s="81" t="str">
        <f t="shared" ca="1" si="5"/>
        <v/>
      </c>
      <c r="AR47" s="81" t="str">
        <f t="shared" ca="1" si="6"/>
        <v/>
      </c>
      <c r="AS47" s="81" t="str">
        <f t="shared" ca="1" si="7"/>
        <v/>
      </c>
    </row>
    <row r="48" spans="1:45" ht="13.5" thickBot="1">
      <c r="A48" s="334" t="s">
        <v>3233</v>
      </c>
      <c r="B48" s="335" t="b">
        <v>0</v>
      </c>
      <c r="C48" s="93" t="str">
        <f>IF(Menu_Icon_Type=FALSE,"Standard","For GM")</f>
        <v>Standard</v>
      </c>
      <c r="S48" s="130">
        <v>10056</v>
      </c>
      <c r="T48" s="130" t="s">
        <v>3395</v>
      </c>
      <c r="U48" s="130"/>
      <c r="V48" s="130"/>
      <c r="W48" s="130"/>
      <c r="X48" s="130"/>
      <c r="Y48" s="130"/>
      <c r="AA48" s="77">
        <v>47</v>
      </c>
      <c r="AB48" s="77" t="s">
        <v>1750</v>
      </c>
      <c r="AC48" s="77" t="b">
        <v>0</v>
      </c>
      <c r="AD48" s="77" t="b">
        <v>1</v>
      </c>
      <c r="AO48" s="81">
        <v>47</v>
      </c>
      <c r="AP48" s="81" t="str">
        <f t="shared" ca="1" si="4"/>
        <v>----</v>
      </c>
      <c r="AQ48" s="81" t="str">
        <f t="shared" ca="1" si="5"/>
        <v/>
      </c>
      <c r="AR48" s="81" t="str">
        <f t="shared" ca="1" si="6"/>
        <v/>
      </c>
      <c r="AS48" s="81" t="str">
        <f t="shared" ca="1" si="7"/>
        <v/>
      </c>
    </row>
    <row r="49" spans="1:45" ht="13.5" thickBot="1">
      <c r="A49" s="334" t="s">
        <v>1987</v>
      </c>
      <c r="B49" s="335" t="b">
        <v>0</v>
      </c>
      <c r="E49" s="205"/>
      <c r="S49" s="130">
        <v>10099</v>
      </c>
      <c r="T49" s="130" t="s">
        <v>469</v>
      </c>
      <c r="U49" s="130"/>
      <c r="V49" s="130"/>
      <c r="W49" s="130"/>
      <c r="X49" s="130"/>
      <c r="Y49" s="130"/>
      <c r="AA49" s="77">
        <v>48</v>
      </c>
      <c r="AB49" s="77" t="s">
        <v>1751</v>
      </c>
      <c r="AC49" s="77" t="b">
        <v>0</v>
      </c>
      <c r="AD49" s="77" t="b">
        <v>1</v>
      </c>
      <c r="AO49" s="81">
        <v>48</v>
      </c>
      <c r="AP49" s="81" t="str">
        <f t="shared" ca="1" si="4"/>
        <v>----</v>
      </c>
      <c r="AQ49" s="81" t="str">
        <f t="shared" ca="1" si="5"/>
        <v/>
      </c>
      <c r="AR49" s="81" t="str">
        <f t="shared" ca="1" si="6"/>
        <v/>
      </c>
      <c r="AS49" s="81" t="str">
        <f t="shared" ca="1" si="7"/>
        <v/>
      </c>
    </row>
    <row r="50" spans="1:45" ht="13.5" thickBot="1">
      <c r="A50" s="186"/>
      <c r="D50" s="183" t="s">
        <v>634</v>
      </c>
      <c r="E50" s="183"/>
      <c r="F50" s="77" t="s">
        <v>2637</v>
      </c>
      <c r="S50" s="130">
        <v>10057</v>
      </c>
      <c r="T50" s="130" t="s">
        <v>1348</v>
      </c>
      <c r="U50" s="130"/>
      <c r="V50" s="130"/>
      <c r="W50" s="130"/>
      <c r="X50" s="130"/>
      <c r="Y50" s="130"/>
      <c r="AA50" s="77">
        <v>49</v>
      </c>
      <c r="AB50" s="77" t="s">
        <v>1752</v>
      </c>
      <c r="AC50" s="77" t="b">
        <v>0</v>
      </c>
      <c r="AD50" s="77" t="b">
        <v>1</v>
      </c>
      <c r="AO50" s="81">
        <v>49</v>
      </c>
      <c r="AP50" s="81" t="str">
        <f t="shared" ca="1" si="4"/>
        <v>----</v>
      </c>
      <c r="AQ50" s="81" t="str">
        <f t="shared" ca="1" si="5"/>
        <v/>
      </c>
      <c r="AR50" s="81" t="str">
        <f t="shared" ca="1" si="6"/>
        <v/>
      </c>
      <c r="AS50" s="81" t="str">
        <f t="shared" ca="1" si="7"/>
        <v/>
      </c>
    </row>
    <row r="51" spans="1:45" ht="13.5" thickBot="1">
      <c r="A51" s="334" t="s">
        <v>1650</v>
      </c>
      <c r="B51" s="92">
        <f>IF(Axis_Count=1,IF(Anal_Payload_Code&gt;=3,1,2),IF(Anal_Robot_Code=9999,0,3))</f>
        <v>3</v>
      </c>
      <c r="C51" s="93" t="str">
        <f>IF(Axis_Type=0,"F-200i",IF(Axis_Type=1,"5axis Axis Mode",IF(Axis_Type=2,"5axis Cofg Mode",IF(Axis_Type=3,"6axis with J6up",IF(Axis_Type=4,"6axis without J6up")))))</f>
        <v>6axis with J6up</v>
      </c>
      <c r="D51" s="333" t="e">
        <f>COUNTIF(Max_J6_RobNo,Anal_Robot_Code)</f>
        <v>#NAME?</v>
      </c>
      <c r="E51" s="204"/>
      <c r="F51" s="81">
        <v>1</v>
      </c>
      <c r="G51" s="81">
        <f>multi_Com_sName_1</f>
        <v>0</v>
      </c>
      <c r="H51" s="81">
        <v>1</v>
      </c>
      <c r="I51" s="81">
        <f>multi_Com_sName_1</f>
        <v>0</v>
      </c>
      <c r="J51" s="81">
        <f ca="1">OFFSET(multi_Com_sName_1,0,1,1,1)</f>
        <v>0</v>
      </c>
      <c r="K51" s="81">
        <f ca="1">OFFSET(multi_Com_sName_1,0,2,1,1)</f>
        <v>0</v>
      </c>
      <c r="L51" s="81">
        <f ca="1">OFFSET(multi_Com_sName_1,0,3,1,1)</f>
        <v>0</v>
      </c>
      <c r="M51" s="81">
        <f ca="1">OFFSET(multi_Com_sName_1,0,4,1,1)</f>
        <v>0</v>
      </c>
      <c r="N51" s="81">
        <f ca="1">OFFSET(multi_Com_sName_1,0,5,1,1)</f>
        <v>0</v>
      </c>
      <c r="O51" s="81">
        <f ca="1">OFFSET(multi_Com_sName_1,0,6,1,1)</f>
        <v>0</v>
      </c>
      <c r="P51" s="81">
        <f ca="1">OFFSET(multi_Com_sName_1,0,7,1,1)</f>
        <v>0</v>
      </c>
      <c r="S51" s="130">
        <v>10100</v>
      </c>
      <c r="T51" s="130" t="s">
        <v>467</v>
      </c>
      <c r="U51" s="130"/>
      <c r="V51" s="130"/>
      <c r="W51" s="130"/>
      <c r="X51" s="130"/>
      <c r="Y51" s="130"/>
      <c r="AA51" s="77">
        <v>50</v>
      </c>
      <c r="AB51" s="77" t="s">
        <v>1753</v>
      </c>
      <c r="AC51" s="77" t="b">
        <v>0</v>
      </c>
      <c r="AD51" s="77" t="b">
        <v>1</v>
      </c>
      <c r="AO51" s="81">
        <v>50</v>
      </c>
      <c r="AP51" s="81" t="str">
        <f t="shared" ca="1" si="4"/>
        <v>----</v>
      </c>
      <c r="AQ51" s="81" t="str">
        <f t="shared" ca="1" si="5"/>
        <v/>
      </c>
      <c r="AR51" s="81" t="str">
        <f t="shared" ca="1" si="6"/>
        <v/>
      </c>
      <c r="AS51" s="81" t="str">
        <f t="shared" ca="1" si="7"/>
        <v/>
      </c>
    </row>
    <row r="52" spans="1:45">
      <c r="A52" s="185" t="s">
        <v>2528</v>
      </c>
      <c r="C52" s="287" t="s">
        <v>2673</v>
      </c>
      <c r="D52" s="287" t="s">
        <v>2673</v>
      </c>
      <c r="E52" s="186" t="s">
        <v>2636</v>
      </c>
      <c r="F52" s="81">
        <v>2</v>
      </c>
      <c r="G52" s="81">
        <f>multi_Com_sName_2</f>
        <v>0</v>
      </c>
      <c r="H52" s="81">
        <v>2</v>
      </c>
      <c r="I52" s="81">
        <f>multi_Com_sName_2</f>
        <v>0</v>
      </c>
      <c r="J52" s="81">
        <f ca="1">OFFSET(multi_Com_sName_2,0,1,1,1)</f>
        <v>0</v>
      </c>
      <c r="K52" s="81">
        <f ca="1">OFFSET(multi_Com_sName_2,0,2,1,1)</f>
        <v>0</v>
      </c>
      <c r="L52" s="81">
        <f ca="1">OFFSET(multi_Com_sName_2,0,3,1,1)</f>
        <v>0</v>
      </c>
      <c r="M52" s="81">
        <f ca="1">OFFSET(multi_Com_sName_2,0,4,1,1)</f>
        <v>0</v>
      </c>
      <c r="N52" s="81">
        <f ca="1">OFFSET(multi_Com_sName_2,0,5,1,1)</f>
        <v>0</v>
      </c>
      <c r="O52" s="81">
        <f ca="1">OFFSET(multi_Com_sName_2,0,6,1,1)</f>
        <v>0</v>
      </c>
      <c r="P52" s="81">
        <f ca="1">OFFSET(multi_Com_sName_2,0,7,1,1)</f>
        <v>0</v>
      </c>
      <c r="S52" s="130">
        <v>10055</v>
      </c>
      <c r="T52" s="130" t="s">
        <v>167</v>
      </c>
      <c r="U52" s="130"/>
      <c r="V52" s="130"/>
      <c r="W52" s="130"/>
      <c r="X52" s="130"/>
      <c r="Y52" s="130"/>
      <c r="AA52" s="77">
        <v>51</v>
      </c>
      <c r="AB52" s="77" t="s">
        <v>1754</v>
      </c>
      <c r="AC52" s="77" t="b">
        <v>0</v>
      </c>
      <c r="AD52" s="77" t="b">
        <v>1</v>
      </c>
      <c r="AO52" s="81">
        <v>51</v>
      </c>
      <c r="AP52" s="81" t="str">
        <f t="shared" ca="1" si="4"/>
        <v>----</v>
      </c>
      <c r="AQ52" s="81" t="str">
        <f t="shared" ca="1" si="5"/>
        <v/>
      </c>
      <c r="AR52" s="81" t="str">
        <f t="shared" ca="1" si="6"/>
        <v/>
      </c>
      <c r="AS52" s="81" t="str">
        <f t="shared" ca="1" si="7"/>
        <v/>
      </c>
    </row>
    <row r="53" spans="1:45">
      <c r="A53" s="186"/>
      <c r="D53" s="902" t="s">
        <v>1261</v>
      </c>
      <c r="E53" s="903">
        <v>1</v>
      </c>
      <c r="F53" s="81">
        <v>3</v>
      </c>
      <c r="G53" s="81">
        <f>multi_Com_sName_3</f>
        <v>0</v>
      </c>
      <c r="H53" s="81">
        <v>3</v>
      </c>
      <c r="I53" s="81">
        <f>multi_Com_sName_3</f>
        <v>0</v>
      </c>
      <c r="J53" s="81">
        <f ca="1">OFFSET(multi_Com_sName_3,0,1,1,1)</f>
        <v>0</v>
      </c>
      <c r="K53" s="81">
        <f ca="1">OFFSET(multi_Com_sName_3,0,2,1,1)</f>
        <v>0</v>
      </c>
      <c r="L53" s="81">
        <f ca="1">OFFSET(multi_Com_sName_3,0,3,1,1)</f>
        <v>0</v>
      </c>
      <c r="M53" s="81">
        <f ca="1">OFFSET(multi_Com_sName_3,0,4,1,1)</f>
        <v>0</v>
      </c>
      <c r="N53" s="81">
        <f ca="1">OFFSET(multi_Com_sName_3,0,5,1,1)</f>
        <v>0</v>
      </c>
      <c r="O53" s="81">
        <f ca="1">OFFSET(multi_Com_sName_3,0,6,1,1)</f>
        <v>0</v>
      </c>
      <c r="P53" s="81">
        <f ca="1">OFFSET(multi_Com_sName_3,0,7,1,1)</f>
        <v>0</v>
      </c>
      <c r="S53" s="130">
        <v>10136</v>
      </c>
      <c r="T53" s="130" t="s">
        <v>2934</v>
      </c>
      <c r="U53" s="130"/>
      <c r="V53" s="130"/>
      <c r="W53" s="130"/>
      <c r="X53" s="130"/>
      <c r="Y53" s="130"/>
      <c r="AA53" s="77">
        <v>52</v>
      </c>
      <c r="AB53" s="77" t="s">
        <v>1755</v>
      </c>
      <c r="AC53" s="77" t="b">
        <v>0</v>
      </c>
      <c r="AD53" s="77" t="b">
        <v>1</v>
      </c>
      <c r="AO53" s="81">
        <v>52</v>
      </c>
      <c r="AP53" s="81" t="str">
        <f t="shared" ca="1" si="4"/>
        <v>----</v>
      </c>
      <c r="AQ53" s="81" t="str">
        <f t="shared" ca="1" si="5"/>
        <v/>
      </c>
      <c r="AR53" s="81" t="str">
        <f t="shared" ca="1" si="6"/>
        <v/>
      </c>
      <c r="AS53" s="81" t="str">
        <f t="shared" ca="1" si="7"/>
        <v/>
      </c>
    </row>
    <row r="54" spans="1:45" ht="13.5" thickBot="1">
      <c r="A54" s="186"/>
      <c r="D54" s="904" t="s">
        <v>1262</v>
      </c>
      <c r="E54" s="81">
        <v>1</v>
      </c>
      <c r="F54" s="81">
        <v>4</v>
      </c>
      <c r="G54" s="81">
        <f>multi_Com_sName_4</f>
        <v>0</v>
      </c>
      <c r="H54" s="81">
        <v>4</v>
      </c>
      <c r="I54" s="81">
        <f>multi_Com_sName_4</f>
        <v>0</v>
      </c>
      <c r="J54" s="81">
        <f ca="1">OFFSET(multi_Com_sName_4,0,1,1,1)</f>
        <v>0</v>
      </c>
      <c r="K54" s="81">
        <f ca="1">OFFSET(multi_Com_sName_4,0,2,1,1)</f>
        <v>0</v>
      </c>
      <c r="L54" s="81">
        <f ca="1">OFFSET(multi_Com_sName_4,0,3,1,1)</f>
        <v>0</v>
      </c>
      <c r="M54" s="81">
        <f ca="1">OFFSET(multi_Com_sName_4,0,4,1,1)</f>
        <v>0</v>
      </c>
      <c r="N54" s="81">
        <f ca="1">OFFSET(multi_Com_sName_4,0,5,1,1)</f>
        <v>0</v>
      </c>
      <c r="O54" s="81">
        <f ca="1">OFFSET(multi_Com_sName_4,0,6,1,1)</f>
        <v>0</v>
      </c>
      <c r="P54" s="81">
        <f ca="1">OFFSET(multi_Com_sName_4,0,7,1,1)</f>
        <v>0</v>
      </c>
      <c r="S54" s="130">
        <v>10137</v>
      </c>
      <c r="T54" s="130" t="s">
        <v>2491</v>
      </c>
      <c r="U54" s="130"/>
      <c r="V54" s="130"/>
      <c r="W54" s="130"/>
      <c r="X54" s="130"/>
      <c r="Y54" s="130"/>
      <c r="AA54" s="77">
        <v>53</v>
      </c>
      <c r="AB54" s="77" t="s">
        <v>1756</v>
      </c>
      <c r="AC54" s="77" t="b">
        <v>0</v>
      </c>
      <c r="AD54" s="77" t="b">
        <v>1</v>
      </c>
      <c r="AO54" s="81">
        <v>53</v>
      </c>
      <c r="AP54" s="81" t="str">
        <f t="shared" ca="1" si="4"/>
        <v>----</v>
      </c>
      <c r="AQ54" s="81" t="str">
        <f t="shared" ca="1" si="5"/>
        <v/>
      </c>
      <c r="AR54" s="81" t="str">
        <f t="shared" ca="1" si="6"/>
        <v/>
      </c>
      <c r="AS54" s="81" t="str">
        <f t="shared" ca="1" si="7"/>
        <v/>
      </c>
    </row>
    <row r="55" spans="1:45">
      <c r="A55" s="422" t="s">
        <v>2756</v>
      </c>
      <c r="B55" s="423">
        <v>1</v>
      </c>
      <c r="D55" s="904" t="s">
        <v>331</v>
      </c>
      <c r="E55" s="81">
        <v>1</v>
      </c>
      <c r="F55" s="81">
        <v>5</v>
      </c>
      <c r="G55" s="81">
        <f>multi_Com_sName_5</f>
        <v>0</v>
      </c>
      <c r="H55" s="81">
        <v>5</v>
      </c>
      <c r="I55" s="81">
        <f>multi_Com_sName_5</f>
        <v>0</v>
      </c>
      <c r="J55" s="81">
        <f ca="1">OFFSET(multi_Com_sName_5,0,1,1,1)</f>
        <v>0</v>
      </c>
      <c r="K55" s="81">
        <f ca="1">OFFSET(multi_Com_sName_5,0,2,1,1)</f>
        <v>0</v>
      </c>
      <c r="L55" s="81">
        <f ca="1">OFFSET(multi_Com_sName_5,0,3,1,1)</f>
        <v>0</v>
      </c>
      <c r="M55" s="81">
        <f ca="1">OFFSET(multi_Com_sName_5,0,4,1,1)</f>
        <v>0</v>
      </c>
      <c r="N55" s="81">
        <f ca="1">OFFSET(multi_Com_sName_5,0,5,1,1)</f>
        <v>0</v>
      </c>
      <c r="O55" s="81">
        <f ca="1">OFFSET(multi_Com_sName_5,0,6,1,1)</f>
        <v>0</v>
      </c>
      <c r="P55" s="81">
        <f ca="1">OFFSET(multi_Com_sName_5,0,7,1,1)</f>
        <v>0</v>
      </c>
      <c r="S55" s="130">
        <v>10150</v>
      </c>
      <c r="T55" s="130" t="s">
        <v>1406</v>
      </c>
      <c r="U55" s="130"/>
      <c r="V55" s="130"/>
      <c r="W55" s="130"/>
      <c r="X55" s="130"/>
      <c r="Y55" s="130"/>
      <c r="AA55" s="77">
        <v>54</v>
      </c>
      <c r="AB55" s="77" t="s">
        <v>1757</v>
      </c>
      <c r="AC55" s="77" t="b">
        <v>0</v>
      </c>
      <c r="AD55" s="77" t="b">
        <v>1</v>
      </c>
      <c r="AO55" s="81">
        <v>54</v>
      </c>
      <c r="AP55" s="81" t="str">
        <f t="shared" ca="1" si="4"/>
        <v>----</v>
      </c>
      <c r="AQ55" s="81" t="str">
        <f t="shared" ca="1" si="5"/>
        <v/>
      </c>
      <c r="AR55" s="81" t="str">
        <f t="shared" ca="1" si="6"/>
        <v/>
      </c>
      <c r="AS55" s="81" t="str">
        <f t="shared" ca="1" si="7"/>
        <v/>
      </c>
    </row>
    <row r="56" spans="1:45" ht="13.5" thickBot="1">
      <c r="A56" s="407" t="s">
        <v>3775</v>
      </c>
      <c r="B56" s="410">
        <v>1</v>
      </c>
      <c r="D56" s="904" t="s">
        <v>2853</v>
      </c>
      <c r="E56" s="81">
        <v>0</v>
      </c>
      <c r="F56" s="81">
        <v>6</v>
      </c>
      <c r="G56" s="81">
        <f>multi_Com_sName_6</f>
        <v>0</v>
      </c>
      <c r="H56" s="81">
        <v>6</v>
      </c>
      <c r="I56" s="81">
        <f>multi_Com_sName_6</f>
        <v>0</v>
      </c>
      <c r="J56" s="81">
        <f ca="1">OFFSET(multi_Com_sName_6,0,1,1,1)</f>
        <v>0</v>
      </c>
      <c r="K56" s="81">
        <f ca="1">OFFSET(multi_Com_sName_6,0,2,1,1)</f>
        <v>0</v>
      </c>
      <c r="L56" s="81">
        <f ca="1">OFFSET(multi_Com_sName_6,0,3,1,1)</f>
        <v>0</v>
      </c>
      <c r="M56" s="81">
        <f ca="1">OFFSET(multi_Com_sName_6,0,4,1,1)</f>
        <v>0</v>
      </c>
      <c r="N56" s="81">
        <f ca="1">OFFSET(multi_Com_sName_6,0,5,1,1)</f>
        <v>0</v>
      </c>
      <c r="O56" s="81">
        <f ca="1">OFFSET(multi_Com_sName_6,0,6,1,1)</f>
        <v>0</v>
      </c>
      <c r="P56" s="81">
        <f ca="1">OFFSET(multi_Com_sName_6,0,7,1,1)</f>
        <v>0</v>
      </c>
      <c r="S56" s="130">
        <v>10151</v>
      </c>
      <c r="T56" s="130" t="s">
        <v>1499</v>
      </c>
      <c r="U56" s="130"/>
      <c r="V56" s="130"/>
      <c r="W56" s="130"/>
      <c r="X56" s="130"/>
      <c r="Y56" s="130"/>
      <c r="AA56" s="77">
        <v>55</v>
      </c>
      <c r="AB56" s="77" t="s">
        <v>1714</v>
      </c>
      <c r="AC56" s="77" t="b">
        <v>0</v>
      </c>
      <c r="AD56" s="77" t="b">
        <v>1</v>
      </c>
      <c r="AO56" s="81">
        <v>55</v>
      </c>
      <c r="AP56" s="81" t="str">
        <f t="shared" ca="1" si="4"/>
        <v>----</v>
      </c>
      <c r="AQ56" s="81" t="str">
        <f t="shared" ca="1" si="5"/>
        <v/>
      </c>
      <c r="AR56" s="81" t="str">
        <f t="shared" ca="1" si="6"/>
        <v/>
      </c>
      <c r="AS56" s="81" t="str">
        <f t="shared" ca="1" si="7"/>
        <v/>
      </c>
    </row>
    <row r="57" spans="1:45">
      <c r="A57" s="186"/>
      <c r="D57" s="904" t="s">
        <v>2854</v>
      </c>
      <c r="E57" s="81">
        <v>100</v>
      </c>
      <c r="F57" s="81">
        <v>7</v>
      </c>
      <c r="G57" s="81">
        <f>multi_Com_sName_7</f>
        <v>0</v>
      </c>
      <c r="H57" s="81">
        <v>7</v>
      </c>
      <c r="I57" s="81">
        <f>multi_Com_sName_7</f>
        <v>0</v>
      </c>
      <c r="J57" s="81">
        <f ca="1">OFFSET(multi_Com_sName_7,0,1,1,1)</f>
        <v>0</v>
      </c>
      <c r="K57" s="81">
        <f ca="1">OFFSET(multi_Com_sName_7,0,2,1,1)</f>
        <v>0</v>
      </c>
      <c r="L57" s="81">
        <f ca="1">OFFSET(multi_Com_sName_7,0,3,1,1)</f>
        <v>0</v>
      </c>
      <c r="M57" s="81">
        <f ca="1">OFFSET(multi_Com_sName_7,0,4,1,1)</f>
        <v>0</v>
      </c>
      <c r="N57" s="81">
        <f ca="1">OFFSET(multi_Com_sName_7,0,5,1,1)</f>
        <v>0</v>
      </c>
      <c r="O57" s="81">
        <f ca="1">OFFSET(multi_Com_sName_7,0,6,1,1)</f>
        <v>0</v>
      </c>
      <c r="P57" s="81">
        <f ca="1">OFFSET(multi_Com_sName_7,0,7,1,1)</f>
        <v>0</v>
      </c>
      <c r="S57" s="130">
        <v>10152</v>
      </c>
      <c r="T57" s="130" t="s">
        <v>2115</v>
      </c>
      <c r="U57" s="130"/>
      <c r="V57" s="130"/>
      <c r="W57" s="130"/>
      <c r="X57" s="130"/>
      <c r="Y57" s="130"/>
      <c r="AA57" s="77">
        <v>56</v>
      </c>
      <c r="AB57" s="77" t="s">
        <v>1758</v>
      </c>
      <c r="AC57" s="77" t="b">
        <v>0</v>
      </c>
      <c r="AD57" s="77" t="b">
        <v>1</v>
      </c>
      <c r="AO57" s="81">
        <v>56</v>
      </c>
      <c r="AP57" s="81" t="str">
        <f t="shared" ca="1" si="4"/>
        <v>----</v>
      </c>
      <c r="AQ57" s="81" t="str">
        <f t="shared" ca="1" si="5"/>
        <v/>
      </c>
      <c r="AR57" s="81" t="str">
        <f t="shared" ca="1" si="6"/>
        <v/>
      </c>
      <c r="AS57" s="81" t="str">
        <f t="shared" ca="1" si="7"/>
        <v/>
      </c>
    </row>
    <row r="58" spans="1:45" ht="13.5" thickBot="1">
      <c r="A58" s="186"/>
      <c r="C58" s="186"/>
      <c r="D58" s="904" t="s">
        <v>523</v>
      </c>
      <c r="E58" s="81">
        <v>138</v>
      </c>
      <c r="F58" s="81">
        <v>8</v>
      </c>
      <c r="G58" s="81">
        <f>multi_Com_sName_8</f>
        <v>0</v>
      </c>
      <c r="H58" s="81">
        <v>8</v>
      </c>
      <c r="I58" s="81">
        <f>multi_Com_sName_8</f>
        <v>0</v>
      </c>
      <c r="J58" s="81">
        <f ca="1">OFFSET(multi_Com_sName_8,0,1,1,1)</f>
        <v>0</v>
      </c>
      <c r="K58" s="81">
        <f ca="1">OFFSET(multi_Com_sName_8,0,2,1,1)</f>
        <v>0</v>
      </c>
      <c r="L58" s="81">
        <f ca="1">OFFSET(multi_Com_sName_8,0,3,1,1)</f>
        <v>0</v>
      </c>
      <c r="M58" s="81">
        <f ca="1">OFFSET(multi_Com_sName_8,0,4,1,1)</f>
        <v>0</v>
      </c>
      <c r="N58" s="81">
        <f ca="1">OFFSET(multi_Com_sName_8,0,5,1,1)</f>
        <v>0</v>
      </c>
      <c r="O58" s="81">
        <f ca="1">OFFSET(multi_Com_sName_8,0,6,1,1)</f>
        <v>0</v>
      </c>
      <c r="P58" s="81">
        <f ca="1">OFFSET(multi_Com_sName_8,0,7,1,1)</f>
        <v>0</v>
      </c>
      <c r="S58" s="130">
        <v>10146</v>
      </c>
      <c r="T58" s="130" t="s">
        <v>2389</v>
      </c>
      <c r="U58" s="130"/>
      <c r="V58" s="130"/>
      <c r="W58" s="130"/>
      <c r="X58" s="130"/>
      <c r="Y58" s="130"/>
      <c r="AA58" s="77">
        <v>57</v>
      </c>
      <c r="AB58" s="77" t="s">
        <v>1759</v>
      </c>
      <c r="AC58" s="77" t="b">
        <v>0</v>
      </c>
      <c r="AD58" s="77" t="b">
        <v>1</v>
      </c>
      <c r="AO58" s="81">
        <v>57</v>
      </c>
      <c r="AP58" s="81" t="str">
        <f t="shared" ca="1" si="4"/>
        <v>----</v>
      </c>
      <c r="AQ58" s="81" t="str">
        <f t="shared" ca="1" si="5"/>
        <v/>
      </c>
      <c r="AR58" s="81" t="str">
        <f t="shared" ca="1" si="6"/>
        <v/>
      </c>
      <c r="AS58" s="81" t="str">
        <f t="shared" ca="1" si="7"/>
        <v/>
      </c>
    </row>
    <row r="59" spans="1:45" ht="13.5" thickBot="1">
      <c r="A59" s="334" t="s">
        <v>3819</v>
      </c>
      <c r="B59" s="335">
        <f>COUNTIF(Axis5_RobNo,Anal_Robot_Code)</f>
        <v>0</v>
      </c>
      <c r="D59" s="47" t="s">
        <v>1162</v>
      </c>
      <c r="E59" s="81">
        <v>4</v>
      </c>
      <c r="F59" s="594">
        <v>9</v>
      </c>
      <c r="G59" s="81">
        <f>multi_Com_sName_9</f>
        <v>0</v>
      </c>
      <c r="H59" s="81">
        <v>9</v>
      </c>
      <c r="I59" s="81">
        <f>multi_Com_sName_9</f>
        <v>0</v>
      </c>
      <c r="J59" s="81">
        <f ca="1">OFFSET(multi_Com_sName_9,0,1,1,1)</f>
        <v>0</v>
      </c>
      <c r="K59" s="81">
        <f ca="1">OFFSET(multi_Com_sName_9,0,2,1,1)</f>
        <v>0</v>
      </c>
      <c r="L59" s="81">
        <f ca="1">OFFSET(multi_Com_sName_9,0,3,1,1)</f>
        <v>0</v>
      </c>
      <c r="M59" s="81">
        <f ca="1">OFFSET(multi_Com_sName_9,0,4,1,1)</f>
        <v>0</v>
      </c>
      <c r="N59" s="81">
        <f ca="1">OFFSET(multi_Com_sName_9,0,5,1,1)</f>
        <v>0</v>
      </c>
      <c r="O59" s="81">
        <f ca="1">OFFSET(multi_Com_sName_9,0,6,1,1)</f>
        <v>0</v>
      </c>
      <c r="P59" s="81">
        <f ca="1">OFFSET(multi_Com_sName_9,0,7,1,1)</f>
        <v>0</v>
      </c>
      <c r="S59" s="130">
        <v>10148</v>
      </c>
      <c r="T59" s="130" t="s">
        <v>2823</v>
      </c>
      <c r="U59" s="130"/>
      <c r="V59" s="130"/>
      <c r="W59" s="130"/>
      <c r="X59" s="130"/>
      <c r="Y59" s="130"/>
      <c r="AA59" s="77">
        <v>58</v>
      </c>
      <c r="AB59" s="77" t="s">
        <v>1760</v>
      </c>
      <c r="AC59" s="77" t="b">
        <v>0</v>
      </c>
      <c r="AD59" s="77" t="b">
        <v>1</v>
      </c>
      <c r="AO59" s="81">
        <v>58</v>
      </c>
      <c r="AP59" s="81" t="str">
        <f t="shared" ca="1" si="4"/>
        <v>----</v>
      </c>
      <c r="AQ59" s="81" t="str">
        <f t="shared" ca="1" si="5"/>
        <v/>
      </c>
      <c r="AR59" s="81" t="str">
        <f t="shared" ca="1" si="6"/>
        <v/>
      </c>
      <c r="AS59" s="81" t="str">
        <f t="shared" ca="1" si="7"/>
        <v/>
      </c>
    </row>
    <row r="60" spans="1:45" ht="13.5" thickBot="1">
      <c r="A60" s="334" t="s">
        <v>2991</v>
      </c>
      <c r="B60" s="335">
        <f>IF(COUNTIF(Offset_type_1,Anal_Robot_Code)=1,1,IF(COUNTIF(Offset_type_2,Anal_Robot_Code)=1,2,IF(COUNTIF(Offset_type_3,Anal_Robot_Code)=1,3,0)))</f>
        <v>0</v>
      </c>
      <c r="D60" s="47" t="s">
        <v>1163</v>
      </c>
      <c r="E60" s="81">
        <v>7</v>
      </c>
      <c r="F60" s="594">
        <v>10</v>
      </c>
      <c r="G60" s="81" t="str">
        <f>multi_Com_sName_10</f>
        <v>Sample</v>
      </c>
      <c r="H60" s="81">
        <v>10</v>
      </c>
      <c r="I60" s="81" t="str">
        <f>multi_Com_sName_10</f>
        <v>Sample</v>
      </c>
      <c r="J60" s="81">
        <f ca="1">OFFSET(multi_Com_sName_10,0,1,1,1)</f>
        <v>59.4</v>
      </c>
      <c r="K60" s="81">
        <f ca="1">OFFSET(multi_Com_sName_10,0,2,1,1)</f>
        <v>0</v>
      </c>
      <c r="L60" s="81">
        <f ca="1">OFFSET(multi_Com_sName_10,0,3,1,1)</f>
        <v>-4.377104377104377E-3</v>
      </c>
      <c r="M60" s="81">
        <f ca="1">OFFSET(multi_Com_sName_10,0,4,1,1)</f>
        <v>0.24877104377104375</v>
      </c>
      <c r="N60" s="81">
        <f ca="1">OFFSET(multi_Com_sName_10,0,5,1,1)</f>
        <v>1.7703826557239057</v>
      </c>
      <c r="O60" s="81">
        <f ca="1">OFFSET(multi_Com_sName_10,0,6,1,1)</f>
        <v>1.9007669528619524</v>
      </c>
      <c r="P60" s="81">
        <f ca="1">OFFSET(multi_Com_sName_10,0,7,1,1)</f>
        <v>1.5150457028619531</v>
      </c>
      <c r="S60" s="130">
        <v>10149</v>
      </c>
      <c r="T60" s="130" t="s">
        <v>52</v>
      </c>
      <c r="U60" s="130"/>
      <c r="V60" s="130"/>
      <c r="W60" s="130"/>
      <c r="X60" s="130"/>
      <c r="Y60" s="130"/>
      <c r="AA60" s="77">
        <v>59</v>
      </c>
      <c r="AB60" s="77" t="s">
        <v>1762</v>
      </c>
      <c r="AC60" s="77" t="b">
        <v>0</v>
      </c>
      <c r="AD60" s="77" t="b">
        <v>1</v>
      </c>
      <c r="AO60" s="81">
        <v>59</v>
      </c>
      <c r="AP60" s="81" t="str">
        <f t="shared" ca="1" si="4"/>
        <v>----</v>
      </c>
      <c r="AQ60" s="81" t="str">
        <f t="shared" ca="1" si="5"/>
        <v/>
      </c>
      <c r="AR60" s="81" t="str">
        <f t="shared" ca="1" si="6"/>
        <v/>
      </c>
      <c r="AS60" s="81" t="str">
        <f t="shared" ca="1" si="7"/>
        <v/>
      </c>
    </row>
    <row r="61" spans="1:45" ht="13.5" thickBot="1">
      <c r="A61" s="334" t="s">
        <v>2293</v>
      </c>
      <c r="B61" s="335">
        <f>COUNTIF(J3Nolad_Robot,Anal_Robot_Code)</f>
        <v>0</v>
      </c>
      <c r="D61" s="47" t="s">
        <v>1164</v>
      </c>
      <c r="E61" s="81">
        <v>0</v>
      </c>
      <c r="S61" s="130">
        <v>10138</v>
      </c>
      <c r="T61" s="130" t="s">
        <v>2159</v>
      </c>
      <c r="U61" s="130"/>
      <c r="V61" s="130"/>
      <c r="W61" s="130"/>
      <c r="X61" s="130"/>
      <c r="Y61" s="130"/>
      <c r="AA61" s="77">
        <v>60</v>
      </c>
      <c r="AB61" s="77" t="s">
        <v>1763</v>
      </c>
      <c r="AC61" s="77" t="b">
        <v>0</v>
      </c>
      <c r="AD61" s="77" t="b">
        <v>1</v>
      </c>
      <c r="AO61" s="81">
        <v>60</v>
      </c>
      <c r="AP61" s="81" t="str">
        <f t="shared" ca="1" si="4"/>
        <v>----</v>
      </c>
      <c r="AQ61" s="81" t="str">
        <f t="shared" ca="1" si="5"/>
        <v/>
      </c>
      <c r="AR61" s="81" t="str">
        <f t="shared" ca="1" si="6"/>
        <v/>
      </c>
      <c r="AS61" s="81" t="str">
        <f t="shared" ca="1" si="7"/>
        <v/>
      </c>
    </row>
    <row r="62" spans="1:45" ht="13.5" thickBot="1">
      <c r="A62" s="334" t="s">
        <v>2553</v>
      </c>
      <c r="B62" s="335">
        <f>COUNTIF(Wrist_Down_Fix_Rob,Anal_Robot_Code)</f>
        <v>0</v>
      </c>
      <c r="S62" s="130">
        <v>10147</v>
      </c>
      <c r="T62" s="130" t="s">
        <v>170</v>
      </c>
      <c r="U62" s="130"/>
      <c r="V62" s="130"/>
      <c r="W62" s="130"/>
      <c r="X62" s="130"/>
      <c r="Y62" s="130"/>
      <c r="AA62" s="77">
        <v>61</v>
      </c>
      <c r="AB62" s="77" t="s">
        <v>1764</v>
      </c>
      <c r="AC62" s="77" t="b">
        <v>0</v>
      </c>
      <c r="AD62" s="77" t="b">
        <v>1</v>
      </c>
      <c r="AO62" s="81">
        <v>61</v>
      </c>
      <c r="AP62" s="81" t="str">
        <f t="shared" ca="1" si="4"/>
        <v>----</v>
      </c>
      <c r="AQ62" s="81" t="str">
        <f t="shared" ca="1" si="5"/>
        <v/>
      </c>
      <c r="AR62" s="81" t="str">
        <f t="shared" ca="1" si="6"/>
        <v/>
      </c>
      <c r="AS62" s="81" t="str">
        <f t="shared" ca="1" si="7"/>
        <v/>
      </c>
    </row>
    <row r="63" spans="1:45">
      <c r="S63" s="130">
        <v>10145</v>
      </c>
      <c r="T63" s="130" t="s">
        <v>3514</v>
      </c>
      <c r="U63" s="130"/>
      <c r="V63" s="130"/>
      <c r="W63" s="130"/>
      <c r="X63" s="130"/>
      <c r="Y63" s="130"/>
      <c r="AA63" s="77">
        <v>62</v>
      </c>
      <c r="AB63" s="77" t="s">
        <v>1765</v>
      </c>
      <c r="AC63" s="77" t="b">
        <v>0</v>
      </c>
      <c r="AD63" s="77" t="b">
        <v>1</v>
      </c>
      <c r="AO63" s="81">
        <v>62</v>
      </c>
      <c r="AP63" s="81" t="str">
        <f t="shared" ca="1" si="4"/>
        <v>----</v>
      </c>
      <c r="AQ63" s="81" t="str">
        <f t="shared" ca="1" si="5"/>
        <v/>
      </c>
      <c r="AR63" s="81" t="str">
        <f t="shared" ca="1" si="6"/>
        <v/>
      </c>
      <c r="AS63" s="81" t="str">
        <f t="shared" ca="1" si="7"/>
        <v/>
      </c>
    </row>
    <row r="64" spans="1:45" ht="13.5" thickBot="1">
      <c r="S64" s="130">
        <v>10086</v>
      </c>
      <c r="T64" s="130" t="s">
        <v>830</v>
      </c>
      <c r="U64" s="130"/>
      <c r="V64" s="130"/>
      <c r="W64" s="130"/>
      <c r="X64" s="130"/>
      <c r="Y64" s="130"/>
      <c r="AA64" s="77">
        <v>63</v>
      </c>
      <c r="AB64" s="77" t="s">
        <v>1766</v>
      </c>
      <c r="AC64" s="77" t="b">
        <v>0</v>
      </c>
      <c r="AD64" s="77" t="b">
        <v>1</v>
      </c>
      <c r="AO64" s="81">
        <v>63</v>
      </c>
      <c r="AP64" s="81" t="str">
        <f t="shared" ca="1" si="4"/>
        <v>----</v>
      </c>
      <c r="AQ64" s="81" t="str">
        <f t="shared" ca="1" si="5"/>
        <v/>
      </c>
      <c r="AR64" s="81" t="str">
        <f t="shared" ca="1" si="6"/>
        <v/>
      </c>
      <c r="AS64" s="81" t="str">
        <f t="shared" ca="1" si="7"/>
        <v/>
      </c>
    </row>
    <row r="65" spans="1:45" ht="13.5" thickBot="1">
      <c r="A65" s="411" t="s">
        <v>3820</v>
      </c>
      <c r="B65" s="186"/>
      <c r="C65" s="411" t="s">
        <v>1515</v>
      </c>
      <c r="D65" s="186"/>
      <c r="E65" s="546" t="s">
        <v>1395</v>
      </c>
      <c r="G65" s="546" t="s">
        <v>2992</v>
      </c>
      <c r="I65" s="546" t="s">
        <v>2993</v>
      </c>
      <c r="K65" s="546" t="s">
        <v>2994</v>
      </c>
      <c r="S65" s="130">
        <v>10173</v>
      </c>
      <c r="T65" s="130" t="s">
        <v>956</v>
      </c>
      <c r="U65" s="130"/>
      <c r="V65" s="130"/>
      <c r="W65" s="130"/>
      <c r="X65" s="130"/>
      <c r="Y65" s="130"/>
      <c r="AA65" s="77">
        <v>64</v>
      </c>
      <c r="AB65" s="77" t="s">
        <v>1767</v>
      </c>
      <c r="AC65" s="77" t="b">
        <v>0</v>
      </c>
      <c r="AD65" s="77" t="b">
        <v>1</v>
      </c>
      <c r="AO65" s="81">
        <v>64</v>
      </c>
      <c r="AP65" s="81" t="str">
        <f t="shared" ca="1" si="4"/>
        <v>----</v>
      </c>
      <c r="AQ65" s="81" t="str">
        <f t="shared" ca="1" si="5"/>
        <v/>
      </c>
      <c r="AR65" s="81" t="str">
        <f t="shared" ca="1" si="6"/>
        <v/>
      </c>
      <c r="AS65" s="81" t="str">
        <f t="shared" ca="1" si="7"/>
        <v/>
      </c>
    </row>
    <row r="66" spans="1:45">
      <c r="A66" s="422">
        <v>46</v>
      </c>
      <c r="B66" s="424" t="str">
        <f t="shared" ref="B66:B85" si="8">VLOOKUP(A66,Robotlist,2, FALSE)</f>
        <v>LR Mate 100iB</v>
      </c>
      <c r="C66" s="422">
        <v>46</v>
      </c>
      <c r="D66" s="424" t="str">
        <f t="shared" ref="D66:D85" si="9">VLOOKUP(C66,Robotlist,2, FALSE)</f>
        <v>LR Mate 100iB</v>
      </c>
      <c r="E66" s="422">
        <v>10069</v>
      </c>
      <c r="F66" s="424" t="str">
        <f t="shared" ref="F66:F85" si="10">VLOOKUP(E66,Robotlist,2, FALSE)</f>
        <v>M-430iA/2FH</v>
      </c>
      <c r="G66" s="422">
        <v>6</v>
      </c>
      <c r="H66" s="424" t="str">
        <f t="shared" ref="H66:J72" si="11">VLOOKUP(G66,Robotlist,2, FALSE)</f>
        <v>S420F Offset HighSpeed</v>
      </c>
      <c r="I66" s="422">
        <v>10068</v>
      </c>
      <c r="J66" s="424" t="str">
        <f t="shared" si="11"/>
        <v>M-430iA/2F</v>
      </c>
      <c r="K66" s="422">
        <v>123</v>
      </c>
      <c r="L66" s="424" t="str">
        <f t="shared" ref="L66:L85" si="12">VLOOKUP(K66,Robotlist,2, FALSE)</f>
        <v>M-6iB/2HS S/A</v>
      </c>
      <c r="S66" s="130">
        <v>10139</v>
      </c>
      <c r="T66" s="130" t="s">
        <v>2337</v>
      </c>
      <c r="U66" s="130"/>
      <c r="V66" s="130"/>
      <c r="W66" s="130"/>
      <c r="X66" s="130"/>
      <c r="Y66" s="130"/>
      <c r="AA66" s="77">
        <v>65</v>
      </c>
      <c r="AB66" s="77" t="s">
        <v>1768</v>
      </c>
      <c r="AC66" s="77" t="b">
        <v>0</v>
      </c>
      <c r="AD66" s="77" t="b">
        <v>1</v>
      </c>
      <c r="AO66" s="81">
        <v>65</v>
      </c>
      <c r="AP66" s="81" t="str">
        <f t="shared" ref="AP66:AP101" ca="1" si="13">IF(OR(OFFSET(Summ_Robot_Code,$AO66-1,0)="",OFFSET(Summ_Robot_Code,$AO66-1,0)=""),"----","Used")</f>
        <v>----</v>
      </c>
      <c r="AQ66" s="81" t="str">
        <f t="shared" ref="AQ66:AQ101" ca="1" si="14">IF(OFFSET(Summ_Data_1,$AO66-1,0)="","",OFFSET(Summ_Data_1,$AO66-1,0))</f>
        <v/>
      </c>
      <c r="AR66" s="81" t="str">
        <f t="shared" ref="AR66:AR101" ca="1" si="15">IF(OFFSET(Summ_Data_1,$AO66-1,1)="","",OFFSET(Summ_Data_1,$AO66-1,1))</f>
        <v/>
      </c>
      <c r="AS66" s="81" t="str">
        <f t="shared" ref="AS66:AS101" ca="1" si="16">IF(OFFSET(Summ_Data_1,$AO66-1,3)="","",OFFSET(Summ_Data_1,$AO66-1,3))</f>
        <v/>
      </c>
    </row>
    <row r="67" spans="1:45">
      <c r="A67" s="406">
        <v>10047</v>
      </c>
      <c r="B67" s="425" t="str">
        <f t="shared" si="8"/>
        <v>R-2000iB/100H</v>
      </c>
      <c r="C67" s="406">
        <v>10068</v>
      </c>
      <c r="D67" s="425" t="str">
        <f t="shared" si="9"/>
        <v>M-430iA/2F</v>
      </c>
      <c r="E67" s="406">
        <v>10093</v>
      </c>
      <c r="F67" s="425" t="str">
        <f t="shared" si="10"/>
        <v>M-430iA/4FH</v>
      </c>
      <c r="G67" s="406">
        <v>7</v>
      </c>
      <c r="H67" s="425" t="str">
        <f t="shared" si="11"/>
        <v>S420F Offset HighTorque</v>
      </c>
      <c r="I67" s="406">
        <v>10069</v>
      </c>
      <c r="J67" s="425" t="str">
        <f t="shared" si="11"/>
        <v>M-430iA/2FH</v>
      </c>
      <c r="K67" s="406"/>
      <c r="L67" s="425" t="e">
        <f t="shared" si="12"/>
        <v>#N/A</v>
      </c>
      <c r="S67" s="130">
        <v>10140</v>
      </c>
      <c r="T67" s="130" t="s">
        <v>3804</v>
      </c>
      <c r="U67" s="130"/>
      <c r="V67" s="130"/>
      <c r="W67" s="130"/>
      <c r="X67" s="130"/>
      <c r="Y67" s="130"/>
      <c r="AA67" s="77">
        <v>66</v>
      </c>
      <c r="AB67" s="77" t="s">
        <v>584</v>
      </c>
      <c r="AC67" s="77" t="b">
        <v>0</v>
      </c>
      <c r="AD67" s="77" t="b">
        <v>1</v>
      </c>
      <c r="AO67" s="81">
        <v>66</v>
      </c>
      <c r="AP67" s="81" t="str">
        <f t="shared" ca="1" si="13"/>
        <v>----</v>
      </c>
      <c r="AQ67" s="81" t="str">
        <f t="shared" ca="1" si="14"/>
        <v/>
      </c>
      <c r="AR67" s="81" t="str">
        <f t="shared" ca="1" si="15"/>
        <v/>
      </c>
      <c r="AS67" s="81" t="str">
        <f t="shared" ca="1" si="16"/>
        <v/>
      </c>
    </row>
    <row r="68" spans="1:45">
      <c r="A68" s="406">
        <v>10048</v>
      </c>
      <c r="B68" s="425" t="str">
        <f t="shared" si="8"/>
        <v>R-2000iB/100H Insulated Flange</v>
      </c>
      <c r="C68" s="406">
        <v>10069</v>
      </c>
      <c r="D68" s="425" t="str">
        <f t="shared" si="9"/>
        <v>M-430iA/2FH</v>
      </c>
      <c r="E68" s="406"/>
      <c r="F68" s="425" t="e">
        <f t="shared" si="10"/>
        <v>#N/A</v>
      </c>
      <c r="G68" s="406">
        <v>20</v>
      </c>
      <c r="H68" s="425" t="str">
        <f t="shared" si="11"/>
        <v>M710i Offset</v>
      </c>
      <c r="I68" s="406">
        <v>10070</v>
      </c>
      <c r="J68" s="425" t="str">
        <f t="shared" si="11"/>
        <v>M-430iA/2P</v>
      </c>
      <c r="K68" s="406"/>
      <c r="L68" s="425" t="e">
        <f t="shared" si="12"/>
        <v>#N/A</v>
      </c>
      <c r="S68" s="130">
        <v>10118</v>
      </c>
      <c r="T68" s="130" t="s">
        <v>1187</v>
      </c>
      <c r="U68" s="130"/>
      <c r="V68" s="130"/>
      <c r="W68" s="130"/>
      <c r="X68" s="130"/>
      <c r="Y68" s="130"/>
      <c r="AA68" s="77">
        <v>67</v>
      </c>
      <c r="AB68" s="77" t="s">
        <v>585</v>
      </c>
      <c r="AC68" s="77" t="b">
        <v>0</v>
      </c>
      <c r="AD68" s="77" t="b">
        <v>1</v>
      </c>
      <c r="AO68" s="81">
        <v>67</v>
      </c>
      <c r="AP68" s="81" t="str">
        <f t="shared" ca="1" si="13"/>
        <v>----</v>
      </c>
      <c r="AQ68" s="81" t="str">
        <f t="shared" ca="1" si="14"/>
        <v/>
      </c>
      <c r="AR68" s="81" t="str">
        <f t="shared" ca="1" si="15"/>
        <v/>
      </c>
      <c r="AS68" s="81" t="str">
        <f t="shared" ca="1" si="16"/>
        <v/>
      </c>
    </row>
    <row r="69" spans="1:45">
      <c r="A69" s="406">
        <v>10056</v>
      </c>
      <c r="B69" s="425" t="str">
        <f t="shared" si="8"/>
        <v>LR Mate 200iC/5H</v>
      </c>
      <c r="C69" s="406">
        <v>10070</v>
      </c>
      <c r="D69" s="425" t="str">
        <f t="shared" si="9"/>
        <v>M-430iA/2P</v>
      </c>
      <c r="E69" s="406"/>
      <c r="F69" s="425" t="e">
        <f t="shared" si="10"/>
        <v>#N/A</v>
      </c>
      <c r="G69" s="406">
        <v>104</v>
      </c>
      <c r="H69" s="425" t="str">
        <f t="shared" si="11"/>
        <v>M-710iB/45E</v>
      </c>
      <c r="I69" s="406">
        <v>10092</v>
      </c>
      <c r="J69" s="425" t="str">
        <f t="shared" si="11"/>
        <v>M-430iA/2PH</v>
      </c>
      <c r="K69" s="406"/>
      <c r="L69" s="425" t="e">
        <f t="shared" si="12"/>
        <v>#N/A</v>
      </c>
      <c r="S69" s="130">
        <v>10168</v>
      </c>
      <c r="T69" s="130" t="s">
        <v>1479</v>
      </c>
      <c r="U69" s="130"/>
      <c r="V69" s="130"/>
      <c r="W69" s="130"/>
      <c r="X69" s="130"/>
      <c r="Y69" s="130"/>
      <c r="AA69" s="77">
        <v>68</v>
      </c>
      <c r="AB69" s="77" t="s">
        <v>586</v>
      </c>
      <c r="AC69" s="77" t="b">
        <v>0</v>
      </c>
      <c r="AD69" s="77" t="b">
        <v>1</v>
      </c>
      <c r="AO69" s="81">
        <v>68</v>
      </c>
      <c r="AP69" s="81" t="str">
        <f t="shared" ca="1" si="13"/>
        <v>----</v>
      </c>
      <c r="AQ69" s="81" t="str">
        <f t="shared" ca="1" si="14"/>
        <v/>
      </c>
      <c r="AR69" s="81" t="str">
        <f t="shared" ca="1" si="15"/>
        <v/>
      </c>
      <c r="AS69" s="81" t="str">
        <f t="shared" ca="1" si="16"/>
        <v/>
      </c>
    </row>
    <row r="70" spans="1:45">
      <c r="A70" s="406">
        <v>10068</v>
      </c>
      <c r="B70" s="425" t="str">
        <f t="shared" si="8"/>
        <v>M-430iA/2F</v>
      </c>
      <c r="C70" s="406">
        <v>10092</v>
      </c>
      <c r="D70" s="425" t="str">
        <f t="shared" si="9"/>
        <v>M-430iA/2PH</v>
      </c>
      <c r="E70" s="406"/>
      <c r="F70" s="425" t="e">
        <f t="shared" si="10"/>
        <v>#N/A</v>
      </c>
      <c r="G70" s="406">
        <v>10103</v>
      </c>
      <c r="H70" s="425" t="str">
        <f t="shared" si="11"/>
        <v>M-710iC/50E</v>
      </c>
      <c r="I70" s="406">
        <v>10093</v>
      </c>
      <c r="J70" s="425" t="str">
        <f t="shared" si="11"/>
        <v>M-430iA/4FH</v>
      </c>
      <c r="K70" s="406"/>
      <c r="L70" s="425" t="e">
        <f t="shared" si="12"/>
        <v>#N/A</v>
      </c>
      <c r="S70" s="130">
        <v>10179</v>
      </c>
      <c r="T70" s="130" t="s">
        <v>2909</v>
      </c>
      <c r="U70" s="130"/>
      <c r="V70" s="130"/>
      <c r="W70" s="130"/>
      <c r="X70" s="130"/>
      <c r="Y70" s="130"/>
      <c r="AA70" s="77">
        <v>69</v>
      </c>
      <c r="AB70" s="77" t="s">
        <v>587</v>
      </c>
      <c r="AC70" s="77" t="b">
        <v>0</v>
      </c>
      <c r="AD70" s="77" t="b">
        <v>1</v>
      </c>
      <c r="AO70" s="81">
        <v>69</v>
      </c>
      <c r="AP70" s="81" t="str">
        <f t="shared" ca="1" si="13"/>
        <v>----</v>
      </c>
      <c r="AQ70" s="81" t="str">
        <f t="shared" ca="1" si="14"/>
        <v/>
      </c>
      <c r="AR70" s="81" t="str">
        <f t="shared" ca="1" si="15"/>
        <v/>
      </c>
      <c r="AS70" s="81" t="str">
        <f t="shared" ca="1" si="16"/>
        <v/>
      </c>
    </row>
    <row r="71" spans="1:45">
      <c r="A71" s="406">
        <v>10069</v>
      </c>
      <c r="B71" s="425" t="str">
        <f t="shared" si="8"/>
        <v>M-430iA/2FH</v>
      </c>
      <c r="C71" s="406">
        <v>10093</v>
      </c>
      <c r="D71" s="425" t="str">
        <f t="shared" si="9"/>
        <v>M-430iA/4FH</v>
      </c>
      <c r="E71" s="406"/>
      <c r="F71" s="425" t="e">
        <f t="shared" si="10"/>
        <v>#N/A</v>
      </c>
      <c r="G71" s="406">
        <v>10105</v>
      </c>
      <c r="H71" s="425" t="str">
        <f t="shared" si="11"/>
        <v>M-1iA/0.5A</v>
      </c>
      <c r="I71" s="406"/>
      <c r="J71" s="425" t="e">
        <f t="shared" si="11"/>
        <v>#N/A</v>
      </c>
      <c r="K71" s="406"/>
      <c r="L71" s="425" t="e">
        <f t="shared" si="12"/>
        <v>#N/A</v>
      </c>
      <c r="S71" s="130">
        <v>10087</v>
      </c>
      <c r="T71" s="130" t="s">
        <v>436</v>
      </c>
      <c r="U71" s="130"/>
      <c r="V71" s="130"/>
      <c r="W71" s="130"/>
      <c r="X71" s="130"/>
      <c r="Y71" s="130"/>
      <c r="AA71" s="77">
        <v>70</v>
      </c>
      <c r="AB71" s="77" t="s">
        <v>588</v>
      </c>
      <c r="AC71" s="77" t="b">
        <v>0</v>
      </c>
      <c r="AD71" s="77" t="b">
        <v>1</v>
      </c>
      <c r="AO71" s="81">
        <v>70</v>
      </c>
      <c r="AP71" s="81" t="str">
        <f t="shared" ca="1" si="13"/>
        <v>----</v>
      </c>
      <c r="AQ71" s="81" t="str">
        <f t="shared" ca="1" si="14"/>
        <v/>
      </c>
      <c r="AR71" s="81" t="str">
        <f t="shared" ca="1" si="15"/>
        <v/>
      </c>
      <c r="AS71" s="81" t="str">
        <f t="shared" ca="1" si="16"/>
        <v/>
      </c>
    </row>
    <row r="72" spans="1:45">
      <c r="A72" s="406">
        <v>10093</v>
      </c>
      <c r="B72" s="425" t="str">
        <f t="shared" si="8"/>
        <v>M-430iA/4FH</v>
      </c>
      <c r="C72" s="406">
        <v>10105</v>
      </c>
      <c r="D72" s="425" t="str">
        <f t="shared" si="9"/>
        <v>M-1iA/0.5A</v>
      </c>
      <c r="E72" s="547"/>
      <c r="F72" s="425" t="e">
        <f t="shared" si="10"/>
        <v>#N/A</v>
      </c>
      <c r="G72" s="406">
        <v>10111</v>
      </c>
      <c r="H72" s="425" t="str">
        <f t="shared" si="11"/>
        <v>M-3iA/6A</v>
      </c>
      <c r="I72" s="547"/>
      <c r="J72" s="425" t="e">
        <f t="shared" si="11"/>
        <v>#N/A</v>
      </c>
      <c r="K72" s="547"/>
      <c r="L72" s="425" t="e">
        <f t="shared" si="12"/>
        <v>#N/A</v>
      </c>
      <c r="S72" s="130">
        <v>10176</v>
      </c>
      <c r="T72" s="130" t="s">
        <v>809</v>
      </c>
      <c r="U72" s="130"/>
      <c r="V72" s="130"/>
      <c r="W72" s="130"/>
      <c r="X72" s="130"/>
      <c r="Y72" s="130"/>
      <c r="AA72" s="77">
        <v>71</v>
      </c>
      <c r="AB72" s="77" t="s">
        <v>589</v>
      </c>
      <c r="AC72" s="77" t="b">
        <v>0</v>
      </c>
      <c r="AD72" s="77" t="b">
        <v>1</v>
      </c>
      <c r="AO72" s="81">
        <v>71</v>
      </c>
      <c r="AP72" s="81" t="str">
        <f t="shared" ca="1" si="13"/>
        <v>----</v>
      </c>
      <c r="AQ72" s="81" t="str">
        <f t="shared" ca="1" si="14"/>
        <v/>
      </c>
      <c r="AR72" s="81" t="str">
        <f t="shared" ca="1" si="15"/>
        <v/>
      </c>
      <c r="AS72" s="81" t="str">
        <f t="shared" ca="1" si="16"/>
        <v/>
      </c>
    </row>
    <row r="73" spans="1:45">
      <c r="A73" s="406">
        <v>10098</v>
      </c>
      <c r="B73" s="425" t="str">
        <f t="shared" si="8"/>
        <v>LR Mate 200iC/5F</v>
      </c>
      <c r="C73" s="406">
        <v>10111</v>
      </c>
      <c r="D73" s="425" t="str">
        <f t="shared" si="9"/>
        <v>M-3iA/6A</v>
      </c>
      <c r="E73" s="547"/>
      <c r="F73" s="409" t="e">
        <f t="shared" si="10"/>
        <v>#N/A</v>
      </c>
      <c r="G73" s="406">
        <v>10112</v>
      </c>
      <c r="H73" s="425" t="str">
        <f t="shared" ref="H73:H85" si="17">VLOOKUP(G73,Robotlist,2, FALSE)</f>
        <v>M-1iA/0.5A(1kgOP)</v>
      </c>
      <c r="I73" s="547"/>
      <c r="J73" s="409" t="e">
        <f t="shared" ref="J73:J85" si="18">VLOOKUP(I73,Robotlist,2, FALSE)</f>
        <v>#N/A</v>
      </c>
      <c r="K73" s="547"/>
      <c r="L73" s="409" t="e">
        <f t="shared" si="12"/>
        <v>#N/A</v>
      </c>
      <c r="S73" s="130">
        <v>10207</v>
      </c>
      <c r="T73" s="130" t="s">
        <v>889</v>
      </c>
      <c r="U73" s="130"/>
      <c r="V73" s="130"/>
      <c r="W73" s="130"/>
      <c r="X73" s="130"/>
      <c r="Y73" s="130"/>
      <c r="AA73" s="77">
        <v>72</v>
      </c>
      <c r="AB73" s="77" t="s">
        <v>590</v>
      </c>
      <c r="AC73" s="77" t="b">
        <v>0</v>
      </c>
      <c r="AD73" s="77" t="b">
        <v>1</v>
      </c>
      <c r="AO73" s="81">
        <v>72</v>
      </c>
      <c r="AP73" s="81" t="str">
        <f t="shared" ca="1" si="13"/>
        <v>----</v>
      </c>
      <c r="AQ73" s="81" t="str">
        <f t="shared" ca="1" si="14"/>
        <v/>
      </c>
      <c r="AR73" s="81" t="str">
        <f t="shared" ca="1" si="15"/>
        <v/>
      </c>
      <c r="AS73" s="81" t="str">
        <f t="shared" ca="1" si="16"/>
        <v/>
      </c>
    </row>
    <row r="74" spans="1:45">
      <c r="A74" s="406">
        <v>10099</v>
      </c>
      <c r="B74" s="425" t="str">
        <f t="shared" si="8"/>
        <v>LR Mate 200iC/5H HS</v>
      </c>
      <c r="C74" s="406">
        <v>10112</v>
      </c>
      <c r="D74" s="425" t="str">
        <f t="shared" si="9"/>
        <v>M-1iA/0.5A(1kgOP)</v>
      </c>
      <c r="E74" s="547"/>
      <c r="F74" s="409" t="e">
        <f t="shared" si="10"/>
        <v>#N/A</v>
      </c>
      <c r="G74" s="906">
        <v>10214</v>
      </c>
      <c r="H74" s="907" t="str">
        <f>VLOOKUP(G74,Robotlist,2, FALSE)</f>
        <v>M-2iA/3A</v>
      </c>
      <c r="I74" s="547"/>
      <c r="J74" s="409" t="e">
        <f t="shared" si="18"/>
        <v>#N/A</v>
      </c>
      <c r="K74" s="547"/>
      <c r="L74" s="409" t="e">
        <f t="shared" si="12"/>
        <v>#N/A</v>
      </c>
      <c r="S74" s="130">
        <v>10121</v>
      </c>
      <c r="T74" s="130" t="s">
        <v>1444</v>
      </c>
      <c r="U74" s="130"/>
      <c r="V74" s="130"/>
      <c r="W74" s="130"/>
      <c r="X74" s="130"/>
      <c r="Y74" s="130"/>
      <c r="AA74" s="77">
        <v>73</v>
      </c>
      <c r="AB74" s="77" t="s">
        <v>591</v>
      </c>
      <c r="AC74" s="77" t="b">
        <v>0</v>
      </c>
      <c r="AD74" s="77" t="b">
        <v>1</v>
      </c>
      <c r="AO74" s="81">
        <v>73</v>
      </c>
      <c r="AP74" s="81" t="str">
        <f t="shared" ca="1" si="13"/>
        <v>----</v>
      </c>
      <c r="AQ74" s="81" t="str">
        <f t="shared" ca="1" si="14"/>
        <v/>
      </c>
      <c r="AR74" s="81" t="str">
        <f t="shared" ca="1" si="15"/>
        <v/>
      </c>
      <c r="AS74" s="81" t="str">
        <f t="shared" ca="1" si="16"/>
        <v/>
      </c>
    </row>
    <row r="75" spans="1:45">
      <c r="A75" s="406">
        <v>10130</v>
      </c>
      <c r="B75" s="425" t="str">
        <f t="shared" si="8"/>
        <v>M-710iC/50H</v>
      </c>
      <c r="C75" s="547"/>
      <c r="D75" s="409" t="e">
        <f t="shared" si="9"/>
        <v>#N/A</v>
      </c>
      <c r="E75" s="547"/>
      <c r="F75" s="409" t="e">
        <f t="shared" si="10"/>
        <v>#N/A</v>
      </c>
      <c r="G75" s="906">
        <v>10215</v>
      </c>
      <c r="H75" s="907" t="str">
        <f t="shared" si="17"/>
        <v>M-2iA/3AL</v>
      </c>
      <c r="I75" s="547"/>
      <c r="J75" s="409" t="e">
        <f t="shared" si="18"/>
        <v>#N/A</v>
      </c>
      <c r="K75" s="547"/>
      <c r="L75" s="409" t="e">
        <f t="shared" si="12"/>
        <v>#N/A</v>
      </c>
      <c r="S75" s="130">
        <v>10196</v>
      </c>
      <c r="T75" s="130" t="s">
        <v>48</v>
      </c>
      <c r="U75" s="130"/>
      <c r="V75" s="130"/>
      <c r="W75" s="130"/>
      <c r="X75" s="130"/>
      <c r="Y75" s="130"/>
      <c r="AA75" s="77">
        <v>74</v>
      </c>
      <c r="AB75" s="77" t="s">
        <v>592</v>
      </c>
      <c r="AC75" s="77" t="b">
        <v>0</v>
      </c>
      <c r="AD75" s="77" t="b">
        <v>1</v>
      </c>
      <c r="AO75" s="81">
        <v>74</v>
      </c>
      <c r="AP75" s="81" t="str">
        <f t="shared" ca="1" si="13"/>
        <v>----</v>
      </c>
      <c r="AQ75" s="81" t="str">
        <f t="shared" ca="1" si="14"/>
        <v/>
      </c>
      <c r="AR75" s="81" t="str">
        <f t="shared" ca="1" si="15"/>
        <v/>
      </c>
      <c r="AS75" s="81" t="str">
        <f t="shared" ca="1" si="16"/>
        <v/>
      </c>
    </row>
    <row r="76" spans="1:45">
      <c r="A76" s="406">
        <v>10148</v>
      </c>
      <c r="B76" s="425" t="str">
        <f t="shared" si="8"/>
        <v>LR Mate 200iD/7H</v>
      </c>
      <c r="C76" s="547"/>
      <c r="D76" s="409" t="e">
        <f t="shared" si="9"/>
        <v>#N/A</v>
      </c>
      <c r="E76" s="547"/>
      <c r="F76" s="409" t="e">
        <f t="shared" si="10"/>
        <v>#N/A</v>
      </c>
      <c r="G76" s="547"/>
      <c r="H76" s="425" t="e">
        <f t="shared" si="17"/>
        <v>#N/A</v>
      </c>
      <c r="I76" s="547"/>
      <c r="J76" s="409" t="e">
        <f t="shared" si="18"/>
        <v>#N/A</v>
      </c>
      <c r="K76" s="547"/>
      <c r="L76" s="409" t="e">
        <f t="shared" si="12"/>
        <v>#N/A</v>
      </c>
      <c r="S76" s="130">
        <v>10123</v>
      </c>
      <c r="T76" s="130" t="s">
        <v>1996</v>
      </c>
      <c r="U76" s="130"/>
      <c r="V76" s="130"/>
      <c r="W76" s="130"/>
      <c r="X76" s="130"/>
      <c r="Y76" s="130"/>
      <c r="AA76" s="77">
        <v>75</v>
      </c>
      <c r="AB76" s="77" t="s">
        <v>591</v>
      </c>
      <c r="AC76" s="77" t="b">
        <v>0</v>
      </c>
      <c r="AD76" s="77" t="b">
        <v>1</v>
      </c>
      <c r="AO76" s="81">
        <v>75</v>
      </c>
      <c r="AP76" s="81" t="str">
        <f t="shared" ca="1" si="13"/>
        <v>----</v>
      </c>
      <c r="AQ76" s="81" t="str">
        <f t="shared" ca="1" si="14"/>
        <v/>
      </c>
      <c r="AR76" s="81" t="str">
        <f t="shared" ca="1" si="15"/>
        <v/>
      </c>
      <c r="AS76" s="81" t="str">
        <f t="shared" ca="1" si="16"/>
        <v/>
      </c>
    </row>
    <row r="77" spans="1:45">
      <c r="A77" s="406">
        <v>10149</v>
      </c>
      <c r="B77" s="425" t="str">
        <f t="shared" si="8"/>
        <v>LR Mate 200iD/7H HI</v>
      </c>
      <c r="C77" s="547"/>
      <c r="D77" s="409" t="e">
        <f t="shared" si="9"/>
        <v>#N/A</v>
      </c>
      <c r="E77" s="547"/>
      <c r="F77" s="409" t="e">
        <f t="shared" si="10"/>
        <v>#N/A</v>
      </c>
      <c r="G77" s="547"/>
      <c r="H77" s="425" t="e">
        <f t="shared" si="17"/>
        <v>#N/A</v>
      </c>
      <c r="I77" s="547"/>
      <c r="J77" s="409" t="e">
        <f t="shared" si="18"/>
        <v>#N/A</v>
      </c>
      <c r="K77" s="547"/>
      <c r="L77" s="409" t="e">
        <f t="shared" si="12"/>
        <v>#N/A</v>
      </c>
      <c r="S77" s="130">
        <v>114</v>
      </c>
      <c r="T77" s="130" t="s">
        <v>230</v>
      </c>
      <c r="U77" s="130"/>
      <c r="V77" s="130"/>
      <c r="W77" s="130"/>
      <c r="X77" s="130"/>
      <c r="Y77" s="130"/>
      <c r="AA77" s="77">
        <v>76</v>
      </c>
      <c r="AB77" s="77" t="s">
        <v>593</v>
      </c>
      <c r="AC77" s="77" t="b">
        <v>0</v>
      </c>
      <c r="AD77" s="77" t="b">
        <v>1</v>
      </c>
      <c r="AO77" s="81">
        <v>76</v>
      </c>
      <c r="AP77" s="81" t="str">
        <f t="shared" ca="1" si="13"/>
        <v>----</v>
      </c>
      <c r="AQ77" s="81" t="str">
        <f t="shared" ca="1" si="14"/>
        <v/>
      </c>
      <c r="AR77" s="81" t="str">
        <f t="shared" ca="1" si="15"/>
        <v/>
      </c>
      <c r="AS77" s="81" t="str">
        <f t="shared" ca="1" si="16"/>
        <v/>
      </c>
    </row>
    <row r="78" spans="1:45">
      <c r="A78" s="406">
        <v>10151</v>
      </c>
      <c r="B78" s="425" t="str">
        <f t="shared" si="8"/>
        <v>LR Mate 200iD/4SH</v>
      </c>
      <c r="C78" s="547"/>
      <c r="D78" s="409" t="e">
        <f t="shared" si="9"/>
        <v>#N/A</v>
      </c>
      <c r="E78" s="547"/>
      <c r="F78" s="409" t="e">
        <f t="shared" si="10"/>
        <v>#N/A</v>
      </c>
      <c r="G78" s="547"/>
      <c r="H78" s="425" t="e">
        <f t="shared" si="17"/>
        <v>#N/A</v>
      </c>
      <c r="I78" s="547"/>
      <c r="J78" s="409" t="e">
        <f t="shared" si="18"/>
        <v>#N/A</v>
      </c>
      <c r="K78" s="547"/>
      <c r="L78" s="409" t="e">
        <f t="shared" si="12"/>
        <v>#N/A</v>
      </c>
      <c r="S78" s="77">
        <v>113</v>
      </c>
      <c r="T78" s="77" t="s">
        <v>3180</v>
      </c>
      <c r="U78" s="130"/>
      <c r="V78" s="130"/>
      <c r="W78" s="130"/>
      <c r="X78" s="130"/>
      <c r="Y78" s="130"/>
      <c r="AA78" s="77">
        <v>77</v>
      </c>
      <c r="AB78" s="77" t="s">
        <v>594</v>
      </c>
      <c r="AC78" s="77" t="b">
        <v>0</v>
      </c>
      <c r="AD78" s="77" t="b">
        <v>1</v>
      </c>
      <c r="AO78" s="81">
        <v>77</v>
      </c>
      <c r="AP78" s="81" t="str">
        <f t="shared" ca="1" si="13"/>
        <v>----</v>
      </c>
      <c r="AQ78" s="81" t="str">
        <f t="shared" ca="1" si="14"/>
        <v/>
      </c>
      <c r="AR78" s="81" t="str">
        <f t="shared" ca="1" si="15"/>
        <v/>
      </c>
      <c r="AS78" s="81" t="str">
        <f t="shared" ca="1" si="16"/>
        <v/>
      </c>
    </row>
    <row r="79" spans="1:45">
      <c r="A79" s="406">
        <v>10152</v>
      </c>
      <c r="B79" s="425" t="str">
        <f t="shared" si="8"/>
        <v>LR Mate 200iD/4SH HI</v>
      </c>
      <c r="C79" s="547"/>
      <c r="D79" s="409" t="e">
        <f t="shared" si="9"/>
        <v>#N/A</v>
      </c>
      <c r="E79" s="547"/>
      <c r="F79" s="409" t="e">
        <f t="shared" si="10"/>
        <v>#N/A</v>
      </c>
      <c r="G79" s="547"/>
      <c r="H79" s="425" t="e">
        <f t="shared" si="17"/>
        <v>#N/A</v>
      </c>
      <c r="I79" s="547"/>
      <c r="J79" s="409" t="e">
        <f t="shared" si="18"/>
        <v>#N/A</v>
      </c>
      <c r="K79" s="547"/>
      <c r="L79" s="409" t="e">
        <f t="shared" si="12"/>
        <v>#N/A</v>
      </c>
      <c r="S79" s="77">
        <v>10105</v>
      </c>
      <c r="T79" s="77" t="s">
        <v>1099</v>
      </c>
      <c r="U79" s="130"/>
      <c r="V79" s="130"/>
      <c r="W79" s="130"/>
      <c r="X79" s="130"/>
      <c r="Y79" s="130"/>
      <c r="AA79" s="77">
        <v>78</v>
      </c>
      <c r="AB79" s="77" t="s">
        <v>1729</v>
      </c>
      <c r="AC79" s="77" t="b">
        <v>0</v>
      </c>
      <c r="AD79" s="77" t="b">
        <v>1</v>
      </c>
      <c r="AO79" s="81">
        <v>78</v>
      </c>
      <c r="AP79" s="81" t="str">
        <f t="shared" ca="1" si="13"/>
        <v>----</v>
      </c>
      <c r="AQ79" s="81" t="str">
        <f t="shared" ca="1" si="14"/>
        <v/>
      </c>
      <c r="AR79" s="81" t="str">
        <f t="shared" ca="1" si="15"/>
        <v/>
      </c>
      <c r="AS79" s="81" t="str">
        <f t="shared" ca="1" si="16"/>
        <v/>
      </c>
    </row>
    <row r="80" spans="1:45">
      <c r="A80" s="406"/>
      <c r="B80" s="425" t="e">
        <f t="shared" si="8"/>
        <v>#N/A</v>
      </c>
      <c r="C80" s="547"/>
      <c r="D80" s="409" t="e">
        <f t="shared" si="9"/>
        <v>#N/A</v>
      </c>
      <c r="E80" s="547"/>
      <c r="F80" s="409" t="e">
        <f t="shared" si="10"/>
        <v>#N/A</v>
      </c>
      <c r="G80" s="547"/>
      <c r="H80" s="425" t="e">
        <f t="shared" si="17"/>
        <v>#N/A</v>
      </c>
      <c r="I80" s="547"/>
      <c r="J80" s="409" t="e">
        <f t="shared" si="18"/>
        <v>#N/A</v>
      </c>
      <c r="K80" s="547"/>
      <c r="L80" s="409" t="e">
        <f t="shared" si="12"/>
        <v>#N/A</v>
      </c>
      <c r="S80" s="77">
        <v>10112</v>
      </c>
      <c r="T80" s="77" t="s">
        <v>979</v>
      </c>
      <c r="U80" s="130"/>
      <c r="V80" s="130"/>
      <c r="W80" s="130"/>
      <c r="X80" s="130"/>
      <c r="Y80" s="130"/>
      <c r="AA80" s="77">
        <v>79</v>
      </c>
      <c r="AB80" s="77" t="s">
        <v>1729</v>
      </c>
      <c r="AC80" s="77" t="b">
        <v>0</v>
      </c>
      <c r="AD80" s="77" t="b">
        <v>1</v>
      </c>
      <c r="AO80" s="81">
        <v>79</v>
      </c>
      <c r="AP80" s="81" t="str">
        <f t="shared" ca="1" si="13"/>
        <v>----</v>
      </c>
      <c r="AQ80" s="81" t="str">
        <f t="shared" ca="1" si="14"/>
        <v/>
      </c>
      <c r="AR80" s="81" t="str">
        <f t="shared" ca="1" si="15"/>
        <v/>
      </c>
      <c r="AS80" s="81" t="str">
        <f t="shared" ca="1" si="16"/>
        <v/>
      </c>
    </row>
    <row r="81" spans="1:45">
      <c r="A81" s="547"/>
      <c r="B81" s="409" t="e">
        <f t="shared" si="8"/>
        <v>#N/A</v>
      </c>
      <c r="C81" s="547"/>
      <c r="D81" s="409" t="e">
        <f t="shared" si="9"/>
        <v>#N/A</v>
      </c>
      <c r="E81" s="547"/>
      <c r="F81" s="409" t="e">
        <f t="shared" si="10"/>
        <v>#N/A</v>
      </c>
      <c r="G81" s="547"/>
      <c r="H81" s="425" t="e">
        <f t="shared" si="17"/>
        <v>#N/A</v>
      </c>
      <c r="I81" s="547"/>
      <c r="J81" s="409" t="e">
        <f t="shared" si="18"/>
        <v>#N/A</v>
      </c>
      <c r="K81" s="547"/>
      <c r="L81" s="409" t="e">
        <f t="shared" si="12"/>
        <v>#N/A</v>
      </c>
      <c r="S81" s="77">
        <v>10084</v>
      </c>
      <c r="T81" s="77" t="s">
        <v>2370</v>
      </c>
      <c r="U81" s="130"/>
      <c r="V81" s="130"/>
      <c r="W81" s="130"/>
      <c r="X81" s="130"/>
      <c r="Y81" s="130"/>
      <c r="AA81" s="77">
        <v>80</v>
      </c>
      <c r="AB81" s="77" t="s">
        <v>595</v>
      </c>
      <c r="AC81" s="77" t="b">
        <v>0</v>
      </c>
      <c r="AD81" s="77" t="b">
        <v>1</v>
      </c>
      <c r="AO81" s="81">
        <v>80</v>
      </c>
      <c r="AP81" s="81" t="str">
        <f t="shared" ca="1" si="13"/>
        <v>----</v>
      </c>
      <c r="AQ81" s="81" t="str">
        <f t="shared" ca="1" si="14"/>
        <v/>
      </c>
      <c r="AR81" s="81" t="str">
        <f t="shared" ca="1" si="15"/>
        <v/>
      </c>
      <c r="AS81" s="81" t="str">
        <f t="shared" ca="1" si="16"/>
        <v/>
      </c>
    </row>
    <row r="82" spans="1:45">
      <c r="A82" s="547"/>
      <c r="B82" s="409" t="e">
        <f t="shared" si="8"/>
        <v>#N/A</v>
      </c>
      <c r="C82" s="547"/>
      <c r="D82" s="409" t="e">
        <f t="shared" si="9"/>
        <v>#N/A</v>
      </c>
      <c r="E82" s="547"/>
      <c r="F82" s="409" t="e">
        <f t="shared" si="10"/>
        <v>#N/A</v>
      </c>
      <c r="G82" s="547"/>
      <c r="H82" s="425" t="e">
        <f t="shared" si="17"/>
        <v>#N/A</v>
      </c>
      <c r="I82" s="547"/>
      <c r="J82" s="409" t="e">
        <f t="shared" si="18"/>
        <v>#N/A</v>
      </c>
      <c r="K82" s="547"/>
      <c r="L82" s="409" t="e">
        <f t="shared" si="12"/>
        <v>#N/A</v>
      </c>
      <c r="S82" s="77">
        <v>10104</v>
      </c>
      <c r="T82" s="77" t="s">
        <v>3715</v>
      </c>
      <c r="U82" s="130"/>
      <c r="V82" s="130"/>
      <c r="W82" s="130"/>
      <c r="X82" s="130"/>
      <c r="Y82" s="130"/>
      <c r="AA82" s="77">
        <v>81</v>
      </c>
      <c r="AB82" s="77" t="s">
        <v>596</v>
      </c>
      <c r="AC82" s="77" t="b">
        <v>0</v>
      </c>
      <c r="AD82" s="77" t="b">
        <v>1</v>
      </c>
      <c r="AO82" s="81">
        <v>81</v>
      </c>
      <c r="AP82" s="81" t="str">
        <f t="shared" ca="1" si="13"/>
        <v>----</v>
      </c>
      <c r="AQ82" s="81" t="str">
        <f t="shared" ca="1" si="14"/>
        <v/>
      </c>
      <c r="AR82" s="81" t="str">
        <f t="shared" ca="1" si="15"/>
        <v/>
      </c>
      <c r="AS82" s="81" t="str">
        <f t="shared" ca="1" si="16"/>
        <v/>
      </c>
    </row>
    <row r="83" spans="1:45">
      <c r="A83" s="547"/>
      <c r="B83" s="409" t="e">
        <f t="shared" si="8"/>
        <v>#N/A</v>
      </c>
      <c r="C83" s="547"/>
      <c r="D83" s="409" t="e">
        <f t="shared" si="9"/>
        <v>#N/A</v>
      </c>
      <c r="E83" s="547"/>
      <c r="F83" s="409" t="e">
        <f t="shared" si="10"/>
        <v>#N/A</v>
      </c>
      <c r="G83" s="547"/>
      <c r="H83" s="425" t="e">
        <f t="shared" si="17"/>
        <v>#N/A</v>
      </c>
      <c r="I83" s="547"/>
      <c r="J83" s="409" t="e">
        <f t="shared" si="18"/>
        <v>#N/A</v>
      </c>
      <c r="K83" s="547"/>
      <c r="L83" s="409" t="e">
        <f t="shared" si="12"/>
        <v>#N/A</v>
      </c>
      <c r="S83" s="130">
        <v>10216</v>
      </c>
      <c r="T83" s="130" t="s">
        <v>164</v>
      </c>
      <c r="U83" s="130"/>
      <c r="V83" s="130"/>
      <c r="W83" s="130"/>
      <c r="X83" s="130"/>
      <c r="Y83" s="130"/>
      <c r="AA83" s="77">
        <v>82</v>
      </c>
      <c r="AB83" s="77" t="s">
        <v>597</v>
      </c>
      <c r="AC83" s="77" t="b">
        <v>0</v>
      </c>
      <c r="AD83" s="77" t="b">
        <v>1</v>
      </c>
      <c r="AO83" s="81">
        <v>82</v>
      </c>
      <c r="AP83" s="81" t="str">
        <f t="shared" ca="1" si="13"/>
        <v>----</v>
      </c>
      <c r="AQ83" s="81" t="str">
        <f t="shared" ca="1" si="14"/>
        <v/>
      </c>
      <c r="AR83" s="81" t="str">
        <f t="shared" ca="1" si="15"/>
        <v/>
      </c>
      <c r="AS83" s="81" t="str">
        <f t="shared" ca="1" si="16"/>
        <v/>
      </c>
    </row>
    <row r="84" spans="1:45">
      <c r="A84" s="547"/>
      <c r="B84" s="409" t="e">
        <f t="shared" si="8"/>
        <v>#N/A</v>
      </c>
      <c r="C84" s="547"/>
      <c r="D84" s="409" t="e">
        <f t="shared" si="9"/>
        <v>#N/A</v>
      </c>
      <c r="E84" s="547"/>
      <c r="F84" s="409" t="e">
        <f t="shared" si="10"/>
        <v>#N/A</v>
      </c>
      <c r="G84" s="547"/>
      <c r="H84" s="425" t="e">
        <f t="shared" si="17"/>
        <v>#N/A</v>
      </c>
      <c r="I84" s="547"/>
      <c r="J84" s="409" t="e">
        <f t="shared" si="18"/>
        <v>#N/A</v>
      </c>
      <c r="K84" s="547"/>
      <c r="L84" s="409" t="e">
        <f t="shared" si="12"/>
        <v>#N/A</v>
      </c>
      <c r="S84" s="77">
        <v>10217</v>
      </c>
      <c r="T84" s="77" t="s">
        <v>3453</v>
      </c>
      <c r="U84" s="130"/>
      <c r="V84" s="130"/>
      <c r="W84" s="130"/>
      <c r="X84" s="130"/>
      <c r="Y84" s="130"/>
      <c r="AA84" s="77">
        <v>83</v>
      </c>
      <c r="AB84" s="77" t="s">
        <v>598</v>
      </c>
      <c r="AC84" s="77" t="b">
        <v>0</v>
      </c>
      <c r="AD84" s="77" t="b">
        <v>1</v>
      </c>
      <c r="AO84" s="81">
        <v>83</v>
      </c>
      <c r="AP84" s="81" t="str">
        <f t="shared" ca="1" si="13"/>
        <v>----</v>
      </c>
      <c r="AQ84" s="81" t="str">
        <f t="shared" ca="1" si="14"/>
        <v/>
      </c>
      <c r="AR84" s="81" t="str">
        <f t="shared" ca="1" si="15"/>
        <v/>
      </c>
      <c r="AS84" s="81" t="str">
        <f t="shared" ca="1" si="16"/>
        <v/>
      </c>
    </row>
    <row r="85" spans="1:45" ht="13.5" thickBot="1">
      <c r="A85" s="426"/>
      <c r="B85" s="410" t="e">
        <f t="shared" si="8"/>
        <v>#N/A</v>
      </c>
      <c r="C85" s="426"/>
      <c r="D85" s="410" t="e">
        <f t="shared" si="9"/>
        <v>#N/A</v>
      </c>
      <c r="E85" s="426"/>
      <c r="F85" s="410" t="e">
        <f t="shared" si="10"/>
        <v>#N/A</v>
      </c>
      <c r="G85" s="426"/>
      <c r="H85" s="905" t="e">
        <f t="shared" si="17"/>
        <v>#N/A</v>
      </c>
      <c r="I85" s="426"/>
      <c r="J85" s="410" t="e">
        <f t="shared" si="18"/>
        <v>#N/A</v>
      </c>
      <c r="K85" s="426"/>
      <c r="L85" s="410" t="e">
        <f t="shared" si="12"/>
        <v>#N/A</v>
      </c>
      <c r="S85" s="130">
        <v>10085</v>
      </c>
      <c r="T85" s="130" t="s">
        <v>3831</v>
      </c>
      <c r="U85" s="130"/>
      <c r="V85" s="130"/>
      <c r="W85" s="130"/>
      <c r="X85" s="130"/>
      <c r="Y85" s="130"/>
      <c r="AA85" s="77">
        <v>84</v>
      </c>
      <c r="AB85" s="77" t="s">
        <v>599</v>
      </c>
      <c r="AC85" s="77" t="b">
        <v>0</v>
      </c>
      <c r="AD85" s="77" t="b">
        <v>1</v>
      </c>
      <c r="AO85" s="81">
        <v>84</v>
      </c>
      <c r="AP85" s="81" t="str">
        <f t="shared" ca="1" si="13"/>
        <v>----</v>
      </c>
      <c r="AQ85" s="81" t="str">
        <f t="shared" ca="1" si="14"/>
        <v/>
      </c>
      <c r="AR85" s="81" t="str">
        <f t="shared" ca="1" si="15"/>
        <v/>
      </c>
      <c r="AS85" s="81" t="str">
        <f t="shared" ca="1" si="16"/>
        <v/>
      </c>
    </row>
    <row r="86" spans="1:45">
      <c r="S86" s="130">
        <v>10088</v>
      </c>
      <c r="T86" s="130" t="s">
        <v>3491</v>
      </c>
      <c r="U86" s="130"/>
      <c r="V86" s="130"/>
      <c r="W86" s="130"/>
      <c r="X86" s="130"/>
      <c r="Y86" s="130"/>
      <c r="AA86" s="77">
        <v>85</v>
      </c>
      <c r="AB86" s="77" t="s">
        <v>2412</v>
      </c>
      <c r="AC86" s="77" t="b">
        <v>0</v>
      </c>
      <c r="AD86" s="77" t="b">
        <v>1</v>
      </c>
      <c r="AO86" s="81">
        <v>85</v>
      </c>
      <c r="AP86" s="81" t="str">
        <f t="shared" ca="1" si="13"/>
        <v>----</v>
      </c>
      <c r="AQ86" s="81" t="str">
        <f t="shared" ca="1" si="14"/>
        <v/>
      </c>
      <c r="AR86" s="81" t="str">
        <f t="shared" ca="1" si="15"/>
        <v/>
      </c>
      <c r="AS86" s="81" t="str">
        <f t="shared" ca="1" si="16"/>
        <v/>
      </c>
    </row>
    <row r="87" spans="1:45">
      <c r="S87" s="77">
        <v>10089</v>
      </c>
      <c r="T87" s="77" t="s">
        <v>2759</v>
      </c>
      <c r="U87" s="130"/>
      <c r="V87" s="130"/>
      <c r="W87" s="130"/>
      <c r="X87" s="130"/>
      <c r="Y87" s="130"/>
      <c r="AA87" s="77">
        <v>86</v>
      </c>
      <c r="AB87" s="77" t="s">
        <v>2413</v>
      </c>
      <c r="AC87" s="77" t="b">
        <v>0</v>
      </c>
      <c r="AD87" s="77" t="b">
        <v>1</v>
      </c>
      <c r="AO87" s="81">
        <v>86</v>
      </c>
      <c r="AP87" s="81" t="str">
        <f t="shared" ca="1" si="13"/>
        <v>----</v>
      </c>
      <c r="AQ87" s="81" t="str">
        <f t="shared" ca="1" si="14"/>
        <v/>
      </c>
      <c r="AR87" s="81" t="str">
        <f t="shared" ca="1" si="15"/>
        <v/>
      </c>
      <c r="AS87" s="81" t="str">
        <f t="shared" ca="1" si="16"/>
        <v/>
      </c>
    </row>
    <row r="88" spans="1:45">
      <c r="S88" s="77">
        <v>10185</v>
      </c>
      <c r="T88" s="77" t="s">
        <v>2914</v>
      </c>
      <c r="U88" s="130"/>
      <c r="V88" s="130"/>
      <c r="W88" s="130"/>
      <c r="X88" s="130"/>
      <c r="Y88" s="130"/>
      <c r="AA88" s="77">
        <v>87</v>
      </c>
      <c r="AB88" s="77" t="s">
        <v>2414</v>
      </c>
      <c r="AC88" s="77" t="b">
        <v>0</v>
      </c>
      <c r="AD88" s="77" t="b">
        <v>1</v>
      </c>
      <c r="AO88" s="81">
        <v>87</v>
      </c>
      <c r="AP88" s="81" t="str">
        <f t="shared" ca="1" si="13"/>
        <v>----</v>
      </c>
      <c r="AQ88" s="81" t="str">
        <f t="shared" ca="1" si="14"/>
        <v/>
      </c>
      <c r="AR88" s="81" t="str">
        <f t="shared" ca="1" si="15"/>
        <v/>
      </c>
      <c r="AS88" s="81" t="str">
        <f t="shared" ca="1" si="16"/>
        <v/>
      </c>
    </row>
    <row r="89" spans="1:45">
      <c r="S89" s="77">
        <v>10135</v>
      </c>
      <c r="T89" s="77" t="s">
        <v>622</v>
      </c>
      <c r="U89" s="130"/>
      <c r="V89" s="130"/>
      <c r="W89" s="130"/>
      <c r="X89" s="130"/>
      <c r="Y89" s="130"/>
      <c r="AA89" s="77">
        <v>88</v>
      </c>
      <c r="AB89" s="77" t="s">
        <v>2413</v>
      </c>
      <c r="AC89" s="77" t="b">
        <v>0</v>
      </c>
      <c r="AD89" s="77" t="b">
        <v>1</v>
      </c>
      <c r="AO89" s="81">
        <v>88</v>
      </c>
      <c r="AP89" s="81" t="str">
        <f t="shared" ca="1" si="13"/>
        <v>----</v>
      </c>
      <c r="AQ89" s="81" t="str">
        <f t="shared" ca="1" si="14"/>
        <v/>
      </c>
      <c r="AR89" s="81" t="str">
        <f t="shared" ca="1" si="15"/>
        <v/>
      </c>
      <c r="AS89" s="81" t="str">
        <f t="shared" ca="1" si="16"/>
        <v/>
      </c>
    </row>
    <row r="90" spans="1:45">
      <c r="S90" s="77">
        <v>10090</v>
      </c>
      <c r="T90" s="77" t="s">
        <v>2460</v>
      </c>
      <c r="U90" s="130"/>
      <c r="V90" s="130"/>
      <c r="W90" s="130"/>
      <c r="X90" s="130"/>
      <c r="Y90" s="130"/>
      <c r="AA90" s="77">
        <v>89</v>
      </c>
      <c r="AB90" s="77" t="s">
        <v>2414</v>
      </c>
      <c r="AC90" s="77" t="b">
        <v>0</v>
      </c>
      <c r="AD90" s="77" t="b">
        <v>1</v>
      </c>
      <c r="AO90" s="81">
        <v>89</v>
      </c>
      <c r="AP90" s="81" t="str">
        <f t="shared" ca="1" si="13"/>
        <v>----</v>
      </c>
      <c r="AQ90" s="81" t="str">
        <f t="shared" ca="1" si="14"/>
        <v/>
      </c>
      <c r="AR90" s="81" t="str">
        <f t="shared" ca="1" si="15"/>
        <v/>
      </c>
      <c r="AS90" s="81" t="str">
        <f t="shared" ca="1" si="16"/>
        <v/>
      </c>
    </row>
    <row r="91" spans="1:45">
      <c r="S91" s="77">
        <v>10155</v>
      </c>
      <c r="T91" s="77" t="s">
        <v>623</v>
      </c>
      <c r="U91" s="130"/>
      <c r="V91" s="130"/>
      <c r="W91" s="130"/>
      <c r="X91" s="130"/>
      <c r="Y91" s="130"/>
      <c r="AA91" s="77">
        <v>90</v>
      </c>
      <c r="AB91" s="77" t="s">
        <v>2415</v>
      </c>
      <c r="AC91" s="77" t="b">
        <v>0</v>
      </c>
      <c r="AD91" s="77" t="b">
        <v>1</v>
      </c>
      <c r="AO91" s="81">
        <v>90</v>
      </c>
      <c r="AP91" s="81" t="str">
        <f t="shared" ca="1" si="13"/>
        <v>----</v>
      </c>
      <c r="AQ91" s="81" t="str">
        <f t="shared" ca="1" si="14"/>
        <v/>
      </c>
      <c r="AR91" s="81" t="str">
        <f t="shared" ca="1" si="15"/>
        <v/>
      </c>
      <c r="AS91" s="81" t="str">
        <f t="shared" ca="1" si="16"/>
        <v/>
      </c>
    </row>
    <row r="92" spans="1:45">
      <c r="S92" s="130">
        <v>10219</v>
      </c>
      <c r="T92" s="130" t="s">
        <v>3076</v>
      </c>
      <c r="U92" s="130"/>
      <c r="V92" s="130"/>
      <c r="W92" s="130"/>
      <c r="X92" s="130"/>
      <c r="Y92" s="130"/>
      <c r="AA92" s="77">
        <v>91</v>
      </c>
      <c r="AB92" s="77" t="s">
        <v>2416</v>
      </c>
      <c r="AC92" s="77" t="b">
        <v>0</v>
      </c>
      <c r="AD92" s="77" t="b">
        <v>1</v>
      </c>
      <c r="AO92" s="81">
        <v>91</v>
      </c>
      <c r="AP92" s="81" t="str">
        <f t="shared" ca="1" si="13"/>
        <v>----</v>
      </c>
      <c r="AQ92" s="81" t="str">
        <f t="shared" ca="1" si="14"/>
        <v/>
      </c>
      <c r="AR92" s="81" t="str">
        <f t="shared" ca="1" si="15"/>
        <v/>
      </c>
      <c r="AS92" s="81" t="str">
        <f t="shared" ca="1" si="16"/>
        <v/>
      </c>
    </row>
    <row r="93" spans="1:45">
      <c r="S93" s="130">
        <v>10214</v>
      </c>
      <c r="T93" s="130" t="s">
        <v>1507</v>
      </c>
      <c r="U93" s="130"/>
      <c r="V93" s="130"/>
      <c r="W93" s="130"/>
      <c r="X93" s="130"/>
      <c r="Y93" s="130"/>
      <c r="AA93" s="77">
        <v>92</v>
      </c>
      <c r="AB93" s="77" t="s">
        <v>2417</v>
      </c>
      <c r="AC93" s="77" t="b">
        <v>0</v>
      </c>
      <c r="AD93" s="77" t="b">
        <v>1</v>
      </c>
      <c r="AO93" s="81">
        <v>92</v>
      </c>
      <c r="AP93" s="81" t="str">
        <f t="shared" ca="1" si="13"/>
        <v>----</v>
      </c>
      <c r="AQ93" s="81" t="str">
        <f t="shared" ca="1" si="14"/>
        <v/>
      </c>
      <c r="AR93" s="81" t="str">
        <f t="shared" ca="1" si="15"/>
        <v/>
      </c>
      <c r="AS93" s="81" t="str">
        <f t="shared" ca="1" si="16"/>
        <v/>
      </c>
    </row>
    <row r="94" spans="1:45">
      <c r="S94" s="130">
        <v>10215</v>
      </c>
      <c r="T94" s="130" t="s">
        <v>1508</v>
      </c>
      <c r="U94" s="130"/>
      <c r="V94" s="130"/>
      <c r="W94" s="130"/>
      <c r="X94" s="130"/>
      <c r="Y94" s="130"/>
      <c r="AA94" s="77">
        <v>93</v>
      </c>
      <c r="AB94" s="77" t="s">
        <v>2418</v>
      </c>
      <c r="AC94" s="77" t="b">
        <v>0</v>
      </c>
      <c r="AD94" s="77" t="b">
        <v>1</v>
      </c>
      <c r="AO94" s="81">
        <v>93</v>
      </c>
      <c r="AP94" s="81" t="str">
        <f t="shared" ca="1" si="13"/>
        <v>----</v>
      </c>
      <c r="AQ94" s="81" t="str">
        <f t="shared" ca="1" si="14"/>
        <v/>
      </c>
      <c r="AR94" s="81" t="str">
        <f t="shared" ca="1" si="15"/>
        <v/>
      </c>
      <c r="AS94" s="81" t="str">
        <f t="shared" ca="1" si="16"/>
        <v/>
      </c>
    </row>
    <row r="95" spans="1:45">
      <c r="S95" s="130">
        <v>10111</v>
      </c>
      <c r="T95" s="130" t="s">
        <v>2515</v>
      </c>
      <c r="U95" s="130"/>
      <c r="V95" s="130"/>
      <c r="W95" s="130"/>
      <c r="X95" s="130"/>
      <c r="Y95" s="130"/>
      <c r="AA95" s="77">
        <v>94</v>
      </c>
      <c r="AB95" s="77" t="s">
        <v>2419</v>
      </c>
      <c r="AC95" s="77" t="b">
        <v>0</v>
      </c>
      <c r="AD95" s="77" t="b">
        <v>1</v>
      </c>
      <c r="AO95" s="81">
        <v>94</v>
      </c>
      <c r="AP95" s="81" t="str">
        <f t="shared" ca="1" si="13"/>
        <v>----</v>
      </c>
      <c r="AQ95" s="81" t="str">
        <f t="shared" ca="1" si="14"/>
        <v/>
      </c>
      <c r="AR95" s="81" t="str">
        <f t="shared" ca="1" si="15"/>
        <v/>
      </c>
      <c r="AS95" s="81" t="str">
        <f t="shared" ca="1" si="16"/>
        <v/>
      </c>
    </row>
    <row r="96" spans="1:45">
      <c r="S96" s="130">
        <v>10068</v>
      </c>
      <c r="T96" s="130" t="s">
        <v>851</v>
      </c>
      <c r="U96" s="130"/>
      <c r="V96" s="130"/>
      <c r="W96" s="130"/>
      <c r="X96" s="130"/>
      <c r="Y96" s="130"/>
      <c r="AA96" s="77">
        <v>95</v>
      </c>
      <c r="AB96" s="77" t="s">
        <v>2420</v>
      </c>
      <c r="AC96" s="77" t="b">
        <v>0</v>
      </c>
      <c r="AD96" s="77" t="b">
        <v>1</v>
      </c>
      <c r="AO96" s="81">
        <v>95</v>
      </c>
      <c r="AP96" s="81" t="str">
        <f t="shared" ca="1" si="13"/>
        <v>----</v>
      </c>
      <c r="AQ96" s="81" t="str">
        <f t="shared" ca="1" si="14"/>
        <v/>
      </c>
      <c r="AR96" s="81" t="str">
        <f t="shared" ca="1" si="15"/>
        <v/>
      </c>
      <c r="AS96" s="81" t="str">
        <f t="shared" ca="1" si="16"/>
        <v/>
      </c>
    </row>
    <row r="97" spans="19:45">
      <c r="S97" s="130">
        <v>10069</v>
      </c>
      <c r="T97" s="130" t="s">
        <v>1215</v>
      </c>
      <c r="U97" s="130"/>
      <c r="V97" s="130"/>
      <c r="W97" s="130"/>
      <c r="X97" s="130"/>
      <c r="Y97" s="130"/>
      <c r="AA97" s="77">
        <v>96</v>
      </c>
      <c r="AB97" s="77" t="s">
        <v>2421</v>
      </c>
      <c r="AC97" s="77" t="b">
        <v>0</v>
      </c>
      <c r="AD97" s="77" t="b">
        <v>1</v>
      </c>
      <c r="AO97" s="81">
        <v>96</v>
      </c>
      <c r="AP97" s="81" t="str">
        <f t="shared" ca="1" si="13"/>
        <v>----</v>
      </c>
      <c r="AQ97" s="81" t="str">
        <f t="shared" ca="1" si="14"/>
        <v/>
      </c>
      <c r="AR97" s="81" t="str">
        <f t="shared" ca="1" si="15"/>
        <v/>
      </c>
      <c r="AS97" s="81" t="str">
        <f t="shared" ca="1" si="16"/>
        <v/>
      </c>
    </row>
    <row r="98" spans="19:45">
      <c r="S98" s="130">
        <v>10070</v>
      </c>
      <c r="T98" s="130" t="s">
        <v>1612</v>
      </c>
      <c r="U98" s="130"/>
      <c r="V98" s="130"/>
      <c r="W98" s="130"/>
      <c r="X98" s="130"/>
      <c r="Y98" s="130"/>
      <c r="AA98" s="77">
        <v>97</v>
      </c>
      <c r="AB98" s="77" t="s">
        <v>2422</v>
      </c>
      <c r="AC98" s="77" t="b">
        <v>0</v>
      </c>
      <c r="AD98" s="77" t="b">
        <v>1</v>
      </c>
      <c r="AO98" s="81">
        <v>97</v>
      </c>
      <c r="AP98" s="81" t="str">
        <f t="shared" ca="1" si="13"/>
        <v>----</v>
      </c>
      <c r="AQ98" s="81" t="str">
        <f t="shared" ca="1" si="14"/>
        <v/>
      </c>
      <c r="AR98" s="81" t="str">
        <f t="shared" ca="1" si="15"/>
        <v/>
      </c>
      <c r="AS98" s="81" t="str">
        <f t="shared" ca="1" si="16"/>
        <v/>
      </c>
    </row>
    <row r="99" spans="19:45">
      <c r="S99" s="130">
        <v>10092</v>
      </c>
      <c r="T99" s="130" t="s">
        <v>1895</v>
      </c>
      <c r="U99" s="130"/>
      <c r="V99" s="130"/>
      <c r="W99" s="130"/>
      <c r="X99" s="130"/>
      <c r="Y99" s="130"/>
      <c r="AA99" s="77">
        <v>98</v>
      </c>
      <c r="AB99" s="77" t="s">
        <v>2423</v>
      </c>
      <c r="AC99" s="77" t="b">
        <v>0</v>
      </c>
      <c r="AD99" s="77" t="b">
        <v>1</v>
      </c>
      <c r="AO99" s="81">
        <v>98</v>
      </c>
      <c r="AP99" s="81" t="str">
        <f t="shared" ca="1" si="13"/>
        <v>----</v>
      </c>
      <c r="AQ99" s="81" t="str">
        <f t="shared" ca="1" si="14"/>
        <v/>
      </c>
      <c r="AR99" s="81" t="str">
        <f t="shared" ca="1" si="15"/>
        <v/>
      </c>
      <c r="AS99" s="81" t="str">
        <f t="shared" ca="1" si="16"/>
        <v/>
      </c>
    </row>
    <row r="100" spans="19:45">
      <c r="S100" s="130">
        <v>10093</v>
      </c>
      <c r="T100" s="130" t="s">
        <v>1645</v>
      </c>
      <c r="U100" s="130"/>
      <c r="V100" s="130"/>
      <c r="W100" s="130"/>
      <c r="X100" s="130"/>
      <c r="Y100" s="130"/>
      <c r="AA100" s="77">
        <v>99</v>
      </c>
      <c r="AB100" s="77" t="s">
        <v>2424</v>
      </c>
      <c r="AC100" s="77" t="b">
        <v>0</v>
      </c>
      <c r="AD100" s="77" t="b">
        <v>1</v>
      </c>
      <c r="AO100" s="81">
        <v>99</v>
      </c>
      <c r="AP100" s="81" t="str">
        <f t="shared" ca="1" si="13"/>
        <v>----</v>
      </c>
      <c r="AQ100" s="81" t="str">
        <f t="shared" ca="1" si="14"/>
        <v/>
      </c>
      <c r="AR100" s="81" t="str">
        <f t="shared" ca="1" si="15"/>
        <v/>
      </c>
      <c r="AS100" s="81" t="str">
        <f t="shared" ca="1" si="16"/>
        <v/>
      </c>
    </row>
    <row r="101" spans="19:45">
      <c r="S101" s="130">
        <v>112</v>
      </c>
      <c r="T101" s="130" t="s">
        <v>2020</v>
      </c>
      <c r="U101" s="130"/>
      <c r="V101" s="130"/>
      <c r="W101" s="130"/>
      <c r="X101" s="130"/>
      <c r="Y101" s="130"/>
      <c r="AA101" s="77">
        <v>100</v>
      </c>
      <c r="AB101" s="77" t="s">
        <v>2425</v>
      </c>
      <c r="AC101" s="77" t="b">
        <v>0</v>
      </c>
      <c r="AD101" s="77" t="b">
        <v>1</v>
      </c>
      <c r="AO101" s="81">
        <v>100</v>
      </c>
      <c r="AP101" s="81" t="str">
        <f t="shared" ca="1" si="13"/>
        <v>----</v>
      </c>
      <c r="AQ101" s="81" t="str">
        <f t="shared" ca="1" si="14"/>
        <v/>
      </c>
      <c r="AR101" s="81" t="str">
        <f t="shared" ca="1" si="15"/>
        <v/>
      </c>
      <c r="AS101" s="81" t="str">
        <f t="shared" ca="1" si="16"/>
        <v/>
      </c>
    </row>
    <row r="102" spans="19:45">
      <c r="S102" s="130">
        <v>122</v>
      </c>
      <c r="T102" s="130" t="s">
        <v>1559</v>
      </c>
      <c r="U102" s="130"/>
      <c r="V102" s="130"/>
      <c r="W102" s="130"/>
      <c r="X102" s="130"/>
      <c r="Y102" s="130"/>
      <c r="AA102" s="77">
        <v>101</v>
      </c>
      <c r="AB102" s="77" t="s">
        <v>2426</v>
      </c>
      <c r="AC102" s="77" t="b">
        <v>0</v>
      </c>
      <c r="AD102" s="77" t="b">
        <v>1</v>
      </c>
    </row>
    <row r="103" spans="19:45">
      <c r="S103" s="77">
        <v>123</v>
      </c>
      <c r="T103" s="77" t="s">
        <v>876</v>
      </c>
      <c r="U103" s="130"/>
      <c r="V103" s="130"/>
      <c r="W103" s="130"/>
      <c r="X103" s="130"/>
      <c r="Y103" s="130"/>
      <c r="AA103" s="77">
        <v>102</v>
      </c>
      <c r="AB103" s="77" t="s">
        <v>2427</v>
      </c>
      <c r="AC103" s="77" t="b">
        <v>0</v>
      </c>
      <c r="AD103" s="77" t="b">
        <v>1</v>
      </c>
    </row>
    <row r="104" spans="19:45">
      <c r="S104" s="130">
        <v>10040</v>
      </c>
      <c r="T104" s="130" t="s">
        <v>1887</v>
      </c>
      <c r="U104" s="130"/>
      <c r="V104" s="130"/>
      <c r="W104" s="130"/>
      <c r="X104" s="130"/>
      <c r="Y104" s="130"/>
      <c r="AA104" s="77">
        <v>103</v>
      </c>
      <c r="AB104" s="77" t="s">
        <v>2428</v>
      </c>
      <c r="AC104" s="77" t="b">
        <v>0</v>
      </c>
      <c r="AD104" s="77" t="b">
        <v>1</v>
      </c>
    </row>
    <row r="105" spans="19:45">
      <c r="S105" s="130">
        <v>121</v>
      </c>
      <c r="T105" s="130" t="s">
        <v>3437</v>
      </c>
      <c r="U105" s="130"/>
      <c r="V105" s="130"/>
      <c r="W105" s="130"/>
      <c r="X105" s="130"/>
      <c r="Y105" s="130"/>
      <c r="AA105" s="77">
        <v>104</v>
      </c>
      <c r="AB105" s="77" t="s">
        <v>2429</v>
      </c>
      <c r="AC105" s="77" t="b">
        <v>0</v>
      </c>
      <c r="AD105" s="77" t="b">
        <v>1</v>
      </c>
    </row>
    <row r="106" spans="19:45">
      <c r="S106" s="130">
        <v>103</v>
      </c>
      <c r="T106" s="130" t="s">
        <v>3845</v>
      </c>
      <c r="U106" s="130"/>
      <c r="V106" s="130"/>
      <c r="W106" s="130"/>
      <c r="X106" s="130"/>
      <c r="Y106" s="130"/>
      <c r="AA106" s="77">
        <v>105</v>
      </c>
      <c r="AB106" s="77" t="s">
        <v>2430</v>
      </c>
      <c r="AC106" s="77" t="b">
        <v>0</v>
      </c>
      <c r="AD106" s="77" t="b">
        <v>1</v>
      </c>
    </row>
    <row r="107" spans="19:45">
      <c r="S107" s="130">
        <v>104</v>
      </c>
      <c r="T107" s="130" t="s">
        <v>3846</v>
      </c>
      <c r="U107" s="130"/>
      <c r="V107" s="130"/>
      <c r="W107" s="130"/>
      <c r="X107" s="130"/>
      <c r="Y107" s="130"/>
      <c r="AA107" s="77">
        <v>106</v>
      </c>
      <c r="AB107" s="77" t="s">
        <v>2431</v>
      </c>
      <c r="AC107" s="77" t="b">
        <v>0</v>
      </c>
      <c r="AD107" s="77" t="b">
        <v>1</v>
      </c>
    </row>
    <row r="108" spans="19:45">
      <c r="S108" s="130">
        <v>115</v>
      </c>
      <c r="T108" s="130" t="s">
        <v>1912</v>
      </c>
      <c r="U108" s="130"/>
      <c r="V108" s="130"/>
      <c r="W108" s="130"/>
      <c r="X108" s="130"/>
      <c r="Y108" s="130"/>
      <c r="AA108" s="77">
        <v>107</v>
      </c>
      <c r="AB108" s="77" t="s">
        <v>2432</v>
      </c>
      <c r="AC108" s="77" t="b">
        <v>0</v>
      </c>
      <c r="AD108" s="77" t="b">
        <v>1</v>
      </c>
    </row>
    <row r="109" spans="19:45">
      <c r="S109" s="130">
        <v>116</v>
      </c>
      <c r="T109" s="130" t="s">
        <v>3042</v>
      </c>
      <c r="U109" s="130"/>
      <c r="V109" s="130"/>
      <c r="W109" s="130"/>
      <c r="X109" s="130"/>
      <c r="Y109" s="130"/>
      <c r="AA109" s="77">
        <v>108</v>
      </c>
      <c r="AB109" s="77" t="s">
        <v>2433</v>
      </c>
      <c r="AC109" s="77" t="b">
        <v>0</v>
      </c>
      <c r="AD109" s="77" t="b">
        <v>1</v>
      </c>
    </row>
    <row r="110" spans="19:45">
      <c r="S110" s="130">
        <v>117</v>
      </c>
      <c r="T110" s="130" t="s">
        <v>3203</v>
      </c>
      <c r="U110" s="130"/>
      <c r="V110" s="130"/>
      <c r="W110" s="130"/>
      <c r="X110" s="130"/>
      <c r="Y110" s="130"/>
      <c r="AA110" s="77">
        <v>109</v>
      </c>
      <c r="AB110" s="77" t="s">
        <v>2434</v>
      </c>
      <c r="AC110" s="77" t="b">
        <v>0</v>
      </c>
      <c r="AD110" s="77" t="b">
        <v>1</v>
      </c>
    </row>
    <row r="111" spans="19:45">
      <c r="S111" s="130">
        <v>10205</v>
      </c>
      <c r="T111" s="130" t="s">
        <v>921</v>
      </c>
      <c r="U111" s="130"/>
      <c r="V111" s="130"/>
      <c r="W111" s="130"/>
      <c r="X111" s="130"/>
      <c r="Y111" s="130"/>
      <c r="AA111" s="77">
        <v>110</v>
      </c>
      <c r="AB111" s="77" t="s">
        <v>2435</v>
      </c>
      <c r="AC111" s="77" t="b">
        <v>0</v>
      </c>
      <c r="AD111" s="77" t="b">
        <v>1</v>
      </c>
    </row>
    <row r="112" spans="19:45">
      <c r="S112" s="130">
        <v>10029</v>
      </c>
      <c r="T112" s="130" t="s">
        <v>3268</v>
      </c>
      <c r="U112" s="130"/>
      <c r="V112" s="130"/>
      <c r="W112" s="130"/>
      <c r="X112" s="130"/>
      <c r="Y112" s="130"/>
      <c r="AA112" s="77">
        <v>111</v>
      </c>
      <c r="AB112" s="77" t="s">
        <v>2436</v>
      </c>
      <c r="AC112" s="77" t="b">
        <v>0</v>
      </c>
      <c r="AD112" s="77" t="b">
        <v>1</v>
      </c>
    </row>
    <row r="113" spans="19:30">
      <c r="S113" s="130">
        <v>10206</v>
      </c>
      <c r="T113" s="130" t="s">
        <v>924</v>
      </c>
      <c r="U113" s="130"/>
      <c r="V113" s="130"/>
      <c r="W113" s="130"/>
      <c r="X113" s="130"/>
      <c r="Y113" s="130"/>
      <c r="AA113" s="77">
        <v>112</v>
      </c>
      <c r="AB113" s="77" t="s">
        <v>2437</v>
      </c>
      <c r="AC113" s="77" t="b">
        <v>0</v>
      </c>
      <c r="AD113" s="77" t="b">
        <v>1</v>
      </c>
    </row>
    <row r="114" spans="19:30">
      <c r="S114" s="130">
        <v>10006</v>
      </c>
      <c r="T114" s="130" t="s">
        <v>555</v>
      </c>
      <c r="U114" s="130"/>
      <c r="V114" s="130"/>
      <c r="W114" s="130"/>
      <c r="X114" s="130"/>
      <c r="Y114" s="130"/>
      <c r="AA114" s="77">
        <v>113</v>
      </c>
      <c r="AB114" s="77" t="s">
        <v>2438</v>
      </c>
      <c r="AC114" s="77" t="b">
        <v>0</v>
      </c>
      <c r="AD114" s="77" t="b">
        <v>1</v>
      </c>
    </row>
    <row r="115" spans="19:30">
      <c r="S115" s="130">
        <v>10103</v>
      </c>
      <c r="T115" s="130" t="s">
        <v>2521</v>
      </c>
      <c r="U115" s="130"/>
      <c r="V115" s="130"/>
      <c r="W115" s="130"/>
      <c r="X115" s="130"/>
      <c r="Y115" s="130"/>
      <c r="AA115" s="77">
        <v>114</v>
      </c>
      <c r="AB115" s="77" t="s">
        <v>2439</v>
      </c>
      <c r="AC115" s="77" t="b">
        <v>0</v>
      </c>
      <c r="AD115" s="77" t="b">
        <v>1</v>
      </c>
    </row>
    <row r="116" spans="19:30">
      <c r="S116" s="130">
        <v>10130</v>
      </c>
      <c r="T116" s="130" t="s">
        <v>3215</v>
      </c>
      <c r="U116" s="130"/>
      <c r="V116" s="130"/>
      <c r="W116" s="130"/>
      <c r="X116" s="130"/>
      <c r="Y116" s="130"/>
      <c r="AA116" s="77">
        <v>115</v>
      </c>
      <c r="AB116" s="77" t="s">
        <v>2440</v>
      </c>
      <c r="AC116" s="77" t="b">
        <v>0</v>
      </c>
      <c r="AD116" s="77" t="b">
        <v>1</v>
      </c>
    </row>
    <row r="117" spans="19:30">
      <c r="S117" s="130">
        <v>10007</v>
      </c>
      <c r="T117" s="130" t="s">
        <v>556</v>
      </c>
      <c r="U117" s="130"/>
      <c r="V117" s="130"/>
      <c r="W117" s="130"/>
      <c r="X117" s="130"/>
      <c r="Y117" s="130"/>
      <c r="AA117" s="77">
        <v>116</v>
      </c>
      <c r="AB117" s="77" t="s">
        <v>2441</v>
      </c>
      <c r="AC117" s="77" t="b">
        <v>0</v>
      </c>
      <c r="AD117" s="77" t="b">
        <v>1</v>
      </c>
    </row>
    <row r="118" spans="19:30">
      <c r="S118" s="130">
        <v>10026</v>
      </c>
      <c r="T118" s="130" t="s">
        <v>218</v>
      </c>
      <c r="U118" s="130"/>
      <c r="V118" s="130"/>
      <c r="W118" s="130"/>
      <c r="X118" s="130"/>
      <c r="Y118" s="130"/>
      <c r="AA118" s="77">
        <v>117</v>
      </c>
      <c r="AB118" s="77" t="s">
        <v>2442</v>
      </c>
      <c r="AC118" s="77" t="b">
        <v>0</v>
      </c>
      <c r="AD118" s="77" t="b">
        <v>1</v>
      </c>
    </row>
    <row r="119" spans="19:30">
      <c r="S119" s="130">
        <v>10027</v>
      </c>
      <c r="T119" s="130" t="s">
        <v>1214</v>
      </c>
      <c r="U119" s="130"/>
      <c r="V119" s="130"/>
      <c r="W119" s="130"/>
      <c r="X119" s="130"/>
      <c r="Y119" s="130"/>
      <c r="AA119" s="77">
        <v>118</v>
      </c>
      <c r="AB119" s="77" t="s">
        <v>2204</v>
      </c>
      <c r="AC119" s="77" t="b">
        <v>0</v>
      </c>
      <c r="AD119" s="77" t="b">
        <v>1</v>
      </c>
    </row>
    <row r="120" spans="19:30">
      <c r="S120" s="130">
        <v>10028</v>
      </c>
      <c r="T120" s="130" t="s">
        <v>1413</v>
      </c>
      <c r="U120" s="130"/>
      <c r="V120" s="130"/>
      <c r="W120" s="130"/>
      <c r="X120" s="130"/>
      <c r="Y120" s="130"/>
      <c r="AA120" s="77">
        <v>119</v>
      </c>
      <c r="AB120" s="77" t="s">
        <v>1768</v>
      </c>
      <c r="AC120" s="77" t="b">
        <v>0</v>
      </c>
      <c r="AD120" s="77" t="b">
        <v>1</v>
      </c>
    </row>
    <row r="121" spans="19:30">
      <c r="S121" s="130">
        <v>10066</v>
      </c>
      <c r="T121" s="130" t="s">
        <v>3089</v>
      </c>
      <c r="U121" s="130"/>
      <c r="V121" s="130"/>
      <c r="W121" s="130"/>
      <c r="X121" s="130"/>
      <c r="Y121" s="130"/>
      <c r="AA121" s="77">
        <v>120</v>
      </c>
      <c r="AB121" s="77" t="s">
        <v>2443</v>
      </c>
      <c r="AC121" s="77" t="b">
        <v>0</v>
      </c>
      <c r="AD121" s="77" t="b">
        <v>1</v>
      </c>
    </row>
    <row r="122" spans="19:30">
      <c r="S122" s="130">
        <v>10067</v>
      </c>
      <c r="T122" s="130" t="s">
        <v>3090</v>
      </c>
      <c r="U122" s="130"/>
      <c r="V122" s="130"/>
      <c r="W122" s="130"/>
      <c r="X122" s="130"/>
      <c r="Y122" s="130"/>
      <c r="AA122" s="77">
        <v>121</v>
      </c>
      <c r="AB122" s="77" t="s">
        <v>1139</v>
      </c>
      <c r="AC122" s="77" t="b">
        <v>0</v>
      </c>
      <c r="AD122" s="77" t="b">
        <v>0</v>
      </c>
    </row>
    <row r="123" spans="19:30">
      <c r="S123" s="130">
        <v>10064</v>
      </c>
      <c r="T123" s="130" t="s">
        <v>1064</v>
      </c>
      <c r="U123" s="130"/>
      <c r="V123" s="130"/>
      <c r="W123" s="130"/>
      <c r="X123" s="130"/>
      <c r="Y123" s="130"/>
      <c r="AA123" s="77">
        <v>122</v>
      </c>
      <c r="AB123" s="77" t="s">
        <v>1140</v>
      </c>
      <c r="AC123" s="77" t="b">
        <v>0</v>
      </c>
      <c r="AD123" s="77" t="b">
        <v>0</v>
      </c>
    </row>
    <row r="124" spans="19:30">
      <c r="S124" s="130">
        <v>10065</v>
      </c>
      <c r="T124" s="130" t="s">
        <v>679</v>
      </c>
      <c r="U124" s="130"/>
      <c r="V124" s="130"/>
      <c r="W124" s="130"/>
      <c r="X124" s="130"/>
      <c r="Y124" s="130"/>
      <c r="AA124" s="77">
        <v>123</v>
      </c>
      <c r="AB124" s="77" t="s">
        <v>1141</v>
      </c>
      <c r="AC124" s="77" t="b">
        <v>0</v>
      </c>
      <c r="AD124" s="77" t="b">
        <v>0</v>
      </c>
    </row>
    <row r="125" spans="19:30">
      <c r="S125" s="130">
        <v>10062</v>
      </c>
      <c r="T125" s="130" t="s">
        <v>3254</v>
      </c>
      <c r="U125" s="130"/>
      <c r="V125" s="130"/>
      <c r="W125" s="130"/>
      <c r="X125" s="130"/>
      <c r="Y125" s="130"/>
      <c r="AA125" s="77">
        <v>124</v>
      </c>
      <c r="AB125" s="77" t="s">
        <v>2444</v>
      </c>
      <c r="AC125" s="77" t="b">
        <v>0</v>
      </c>
      <c r="AD125" s="77" t="b">
        <v>1</v>
      </c>
    </row>
    <row r="126" spans="19:30">
      <c r="S126" s="130">
        <v>10063</v>
      </c>
      <c r="T126" s="130" t="s">
        <v>3255</v>
      </c>
      <c r="U126" s="130"/>
      <c r="V126" s="130"/>
      <c r="W126" s="130"/>
      <c r="X126" s="130"/>
      <c r="Y126" s="130"/>
      <c r="AA126" s="77">
        <v>125</v>
      </c>
      <c r="AB126" s="77" t="s">
        <v>3532</v>
      </c>
      <c r="AC126" s="77" t="b">
        <v>0</v>
      </c>
      <c r="AD126" s="77" t="b">
        <v>1</v>
      </c>
    </row>
    <row r="127" spans="19:30">
      <c r="S127" s="77">
        <v>10060</v>
      </c>
      <c r="T127" s="77" t="s">
        <v>148</v>
      </c>
      <c r="U127" s="130"/>
      <c r="V127" s="130"/>
      <c r="W127" s="130"/>
      <c r="X127" s="130"/>
      <c r="Y127" s="130"/>
      <c r="AA127" s="77">
        <v>126</v>
      </c>
      <c r="AB127" s="77" t="s">
        <v>2445</v>
      </c>
      <c r="AC127" s="77" t="b">
        <v>0</v>
      </c>
      <c r="AD127" s="77" t="b">
        <v>1</v>
      </c>
    </row>
    <row r="128" spans="19:30">
      <c r="S128" s="130">
        <v>10061</v>
      </c>
      <c r="T128" s="130" t="s">
        <v>149</v>
      </c>
      <c r="U128" s="130"/>
      <c r="V128" s="130"/>
      <c r="W128" s="130"/>
      <c r="X128" s="130"/>
      <c r="Y128" s="130"/>
      <c r="AA128" s="77">
        <v>127</v>
      </c>
      <c r="AB128" s="77" t="s">
        <v>2446</v>
      </c>
      <c r="AC128" s="77" t="b">
        <v>0</v>
      </c>
      <c r="AD128" s="77" t="b">
        <v>1</v>
      </c>
    </row>
    <row r="129" spans="19:30">
      <c r="S129" s="130">
        <v>10110</v>
      </c>
      <c r="T129" s="130" t="s">
        <v>2352</v>
      </c>
      <c r="U129" s="130"/>
      <c r="V129" s="130"/>
      <c r="W129" s="130"/>
      <c r="X129" s="130"/>
      <c r="Y129" s="130"/>
      <c r="AA129" s="77">
        <v>128</v>
      </c>
      <c r="AB129" s="77" t="s">
        <v>2447</v>
      </c>
      <c r="AC129" s="77" t="b">
        <v>0</v>
      </c>
      <c r="AD129" s="77" t="b">
        <v>1</v>
      </c>
    </row>
    <row r="130" spans="19:30">
      <c r="S130" s="130">
        <v>10071</v>
      </c>
      <c r="T130" s="130" t="s">
        <v>1226</v>
      </c>
      <c r="U130" s="130"/>
      <c r="V130" s="130"/>
      <c r="W130" s="130"/>
      <c r="X130" s="130"/>
      <c r="Y130" s="130"/>
      <c r="AA130" s="77">
        <v>129</v>
      </c>
      <c r="AB130" s="77" t="s">
        <v>2448</v>
      </c>
      <c r="AC130" s="77" t="b">
        <v>0</v>
      </c>
      <c r="AD130" s="77" t="b">
        <v>1</v>
      </c>
    </row>
    <row r="131" spans="19:30">
      <c r="S131" s="130">
        <v>10072</v>
      </c>
      <c r="T131" s="130" t="s">
        <v>800</v>
      </c>
      <c r="U131" s="130"/>
      <c r="V131" s="130"/>
      <c r="W131" s="130"/>
      <c r="X131" s="130"/>
      <c r="Y131" s="130"/>
      <c r="AA131" s="77">
        <v>130</v>
      </c>
      <c r="AB131" s="77" t="s">
        <v>2449</v>
      </c>
      <c r="AC131" s="77" t="b">
        <v>0</v>
      </c>
      <c r="AD131" s="77" t="b">
        <v>1</v>
      </c>
    </row>
    <row r="132" spans="19:30">
      <c r="S132" s="130">
        <v>214</v>
      </c>
      <c r="T132" s="130" t="s">
        <v>1884</v>
      </c>
      <c r="U132" s="130"/>
      <c r="V132" s="130"/>
      <c r="W132" s="130"/>
      <c r="X132" s="130"/>
      <c r="Y132" s="130"/>
      <c r="AA132" s="77">
        <v>131</v>
      </c>
      <c r="AB132" s="77" t="s">
        <v>624</v>
      </c>
      <c r="AC132" s="77" t="b">
        <v>0</v>
      </c>
      <c r="AD132" s="77" t="b">
        <v>1</v>
      </c>
    </row>
    <row r="133" spans="19:30">
      <c r="S133" s="130">
        <v>215</v>
      </c>
      <c r="T133" s="130" t="s">
        <v>3402</v>
      </c>
      <c r="U133" s="130"/>
      <c r="V133" s="130"/>
      <c r="W133" s="130"/>
      <c r="X133" s="130"/>
      <c r="Y133" s="130"/>
      <c r="AA133" s="77">
        <v>132</v>
      </c>
      <c r="AB133" s="77" t="s">
        <v>1549</v>
      </c>
      <c r="AC133" s="77" t="b">
        <v>0</v>
      </c>
      <c r="AD133" s="77" t="b">
        <v>0</v>
      </c>
    </row>
    <row r="134" spans="19:30">
      <c r="S134" s="130">
        <v>1215</v>
      </c>
      <c r="T134" s="130" t="s">
        <v>1380</v>
      </c>
      <c r="U134" s="130"/>
      <c r="V134" s="130"/>
      <c r="W134" s="130"/>
      <c r="X134" s="130"/>
      <c r="Y134" s="130"/>
    </row>
    <row r="135" spans="19:30">
      <c r="S135" s="130">
        <v>1214</v>
      </c>
      <c r="T135" s="130" t="s">
        <v>2136</v>
      </c>
      <c r="U135" s="130"/>
      <c r="V135" s="130"/>
      <c r="W135" s="130"/>
      <c r="X135" s="130"/>
      <c r="Y135" s="130"/>
    </row>
    <row r="136" spans="19:30">
      <c r="S136" s="130">
        <v>10190</v>
      </c>
      <c r="T136" s="130" t="s">
        <v>1924</v>
      </c>
      <c r="U136" s="130"/>
      <c r="V136" s="130"/>
      <c r="W136" s="130"/>
      <c r="X136" s="130"/>
      <c r="Y136" s="130"/>
    </row>
    <row r="137" spans="19:30">
      <c r="S137" s="130">
        <v>211</v>
      </c>
      <c r="T137" s="130" t="s">
        <v>2458</v>
      </c>
      <c r="U137" s="130"/>
      <c r="V137" s="130"/>
      <c r="W137" s="130"/>
      <c r="X137" s="130"/>
      <c r="Y137" s="130"/>
    </row>
    <row r="138" spans="19:30">
      <c r="S138" s="130">
        <v>213</v>
      </c>
      <c r="T138" s="130" t="s">
        <v>231</v>
      </c>
      <c r="V138" s="130"/>
      <c r="W138" s="130"/>
      <c r="X138" s="130"/>
      <c r="Y138" s="130"/>
    </row>
    <row r="139" spans="19:30">
      <c r="S139" s="130">
        <v>1213</v>
      </c>
      <c r="T139" s="130" t="s">
        <v>3273</v>
      </c>
      <c r="V139" s="130"/>
      <c r="W139" s="130"/>
      <c r="X139" s="130"/>
      <c r="Y139" s="130"/>
    </row>
    <row r="140" spans="19:30">
      <c r="S140" s="130">
        <v>1211</v>
      </c>
      <c r="T140" s="130" t="s">
        <v>43</v>
      </c>
    </row>
    <row r="141" spans="19:30">
      <c r="S141" s="130">
        <v>10037</v>
      </c>
      <c r="T141" s="130" t="s">
        <v>694</v>
      </c>
    </row>
    <row r="142" spans="19:30">
      <c r="S142" s="130">
        <v>10038</v>
      </c>
      <c r="T142" s="130" t="s">
        <v>1567</v>
      </c>
    </row>
    <row r="143" spans="19:30">
      <c r="S143" s="130">
        <v>10075</v>
      </c>
      <c r="T143" s="130" t="s">
        <v>1975</v>
      </c>
    </row>
    <row r="144" spans="19:30">
      <c r="S144" s="130">
        <v>10094</v>
      </c>
      <c r="T144" s="130" t="s">
        <v>1023</v>
      </c>
    </row>
    <row r="145" spans="19:20">
      <c r="S145" s="130">
        <v>10095</v>
      </c>
      <c r="T145" s="130" t="s">
        <v>1024</v>
      </c>
    </row>
    <row r="146" spans="19:20">
      <c r="S146" s="130">
        <v>10076</v>
      </c>
      <c r="T146" s="130" t="s">
        <v>1976</v>
      </c>
    </row>
    <row r="147" spans="19:20">
      <c r="S147" s="130">
        <v>212</v>
      </c>
      <c r="T147" s="130" t="s">
        <v>1609</v>
      </c>
    </row>
    <row r="148" spans="19:20">
      <c r="S148" s="130">
        <v>1212</v>
      </c>
      <c r="T148" s="130" t="s">
        <v>326</v>
      </c>
    </row>
    <row r="149" spans="19:20">
      <c r="S149" s="130">
        <v>216</v>
      </c>
      <c r="T149" s="130" t="s">
        <v>1661</v>
      </c>
    </row>
    <row r="150" spans="19:20">
      <c r="S150" s="130">
        <v>1216</v>
      </c>
      <c r="T150" s="130" t="s">
        <v>24</v>
      </c>
    </row>
    <row r="151" spans="19:20">
      <c r="S151" s="130">
        <v>10210</v>
      </c>
      <c r="T151" s="130" t="s">
        <v>2943</v>
      </c>
    </row>
    <row r="152" spans="19:20">
      <c r="S152" s="130">
        <v>10212</v>
      </c>
      <c r="T152" s="130" t="s">
        <v>2887</v>
      </c>
    </row>
    <row r="153" spans="19:20">
      <c r="S153" s="130">
        <v>10213</v>
      </c>
      <c r="T153" s="130" t="s">
        <v>2888</v>
      </c>
    </row>
    <row r="154" spans="19:20">
      <c r="S154" s="130">
        <v>10211</v>
      </c>
      <c r="T154" s="130" t="s">
        <v>2944</v>
      </c>
    </row>
    <row r="155" spans="19:20">
      <c r="S155" s="130">
        <v>10191</v>
      </c>
      <c r="T155" s="130" t="s">
        <v>400</v>
      </c>
    </row>
    <row r="156" spans="19:20">
      <c r="S156" s="130">
        <v>10193</v>
      </c>
      <c r="T156" s="130" t="s">
        <v>399</v>
      </c>
    </row>
    <row r="157" spans="19:20">
      <c r="S157" s="130">
        <v>10194</v>
      </c>
      <c r="T157" s="130" t="s">
        <v>1553</v>
      </c>
    </row>
    <row r="158" spans="19:20">
      <c r="S158" s="130">
        <v>10192</v>
      </c>
      <c r="T158" s="130" t="s">
        <v>401</v>
      </c>
    </row>
    <row r="159" spans="19:20">
      <c r="S159" s="130">
        <v>10164</v>
      </c>
      <c r="T159" s="130" t="s">
        <v>480</v>
      </c>
    </row>
    <row r="160" spans="19:20">
      <c r="S160" s="130">
        <v>10166</v>
      </c>
      <c r="T160" s="130" t="s">
        <v>2681</v>
      </c>
    </row>
    <row r="161" spans="19:20">
      <c r="S161" s="130">
        <v>10167</v>
      </c>
      <c r="T161" s="130" t="s">
        <v>2682</v>
      </c>
    </row>
    <row r="162" spans="19:20">
      <c r="S162" s="130">
        <v>10165</v>
      </c>
      <c r="T162" s="130" t="s">
        <v>566</v>
      </c>
    </row>
    <row r="163" spans="19:20">
      <c r="S163" s="130">
        <v>10143</v>
      </c>
      <c r="T163" s="130" t="s">
        <v>735</v>
      </c>
    </row>
    <row r="164" spans="19:20">
      <c r="S164" s="130">
        <v>10144</v>
      </c>
      <c r="T164" s="130" t="s">
        <v>736</v>
      </c>
    </row>
    <row r="165" spans="19:20">
      <c r="S165" s="130">
        <v>10131</v>
      </c>
      <c r="T165" s="130" t="s">
        <v>3546</v>
      </c>
    </row>
    <row r="166" spans="19:20">
      <c r="S166" s="77">
        <v>10132</v>
      </c>
      <c r="T166" s="77" t="s">
        <v>670</v>
      </c>
    </row>
    <row r="167" spans="19:20">
      <c r="S167" s="77">
        <v>47</v>
      </c>
      <c r="T167" s="77" t="s">
        <v>1821</v>
      </c>
    </row>
    <row r="168" spans="19:20">
      <c r="S168" s="77">
        <v>20</v>
      </c>
      <c r="T168" s="77" t="s">
        <v>1823</v>
      </c>
    </row>
    <row r="169" spans="19:20">
      <c r="S169" s="77">
        <v>21</v>
      </c>
      <c r="T169" s="77" t="s">
        <v>3676</v>
      </c>
    </row>
    <row r="170" spans="19:20">
      <c r="S170" s="77">
        <v>10096</v>
      </c>
      <c r="T170" s="77" t="s">
        <v>2341</v>
      </c>
    </row>
    <row r="171" spans="19:20">
      <c r="S171" s="77">
        <v>10101</v>
      </c>
      <c r="T171" s="77" t="s">
        <v>1419</v>
      </c>
    </row>
    <row r="172" spans="19:20">
      <c r="S172" s="77">
        <v>10134</v>
      </c>
      <c r="T172" s="77" t="s">
        <v>1671</v>
      </c>
    </row>
    <row r="173" spans="19:20">
      <c r="S173" s="77">
        <v>10154</v>
      </c>
      <c r="T173" s="77" t="s">
        <v>1622</v>
      </c>
    </row>
    <row r="174" spans="19:20">
      <c r="S174" s="77">
        <v>10115</v>
      </c>
      <c r="T174" s="77" t="s">
        <v>3157</v>
      </c>
    </row>
    <row r="175" spans="19:20">
      <c r="S175" s="77">
        <v>10116</v>
      </c>
      <c r="T175" s="77" t="s">
        <v>1048</v>
      </c>
    </row>
    <row r="176" spans="19:20">
      <c r="S176" s="77">
        <v>10117</v>
      </c>
      <c r="T176" s="77" t="s">
        <v>2600</v>
      </c>
    </row>
    <row r="177" spans="19:20">
      <c r="S177" s="77">
        <v>10077</v>
      </c>
      <c r="T177" s="77" t="s">
        <v>2031</v>
      </c>
    </row>
    <row r="178" spans="19:20">
      <c r="S178" s="77">
        <v>10078</v>
      </c>
      <c r="T178" s="77" t="s">
        <v>2032</v>
      </c>
    </row>
    <row r="179" spans="19:20">
      <c r="S179" s="77">
        <v>10079</v>
      </c>
      <c r="T179" s="77" t="s">
        <v>40</v>
      </c>
    </row>
    <row r="180" spans="19:20">
      <c r="S180" s="77">
        <v>205</v>
      </c>
      <c r="T180" s="77" t="s">
        <v>3540</v>
      </c>
    </row>
    <row r="181" spans="19:20">
      <c r="S181" s="77">
        <v>1205</v>
      </c>
      <c r="T181" s="77" t="s">
        <v>42</v>
      </c>
    </row>
    <row r="182" spans="19:20">
      <c r="S182" s="77">
        <v>111</v>
      </c>
      <c r="T182" s="77" t="s">
        <v>221</v>
      </c>
    </row>
    <row r="183" spans="19:20">
      <c r="S183" s="77">
        <v>1111</v>
      </c>
      <c r="T183" s="77" t="s">
        <v>3423</v>
      </c>
    </row>
    <row r="184" spans="19:20">
      <c r="S184" s="77">
        <v>105</v>
      </c>
      <c r="T184" s="77" t="s">
        <v>3847</v>
      </c>
    </row>
    <row r="185" spans="19:20">
      <c r="S185" s="77">
        <v>1105</v>
      </c>
      <c r="T185" s="77" t="s">
        <v>875</v>
      </c>
    </row>
    <row r="186" spans="19:20">
      <c r="S186" s="77">
        <v>301</v>
      </c>
      <c r="T186" s="77" t="s">
        <v>3422</v>
      </c>
    </row>
    <row r="187" spans="19:20">
      <c r="S187" s="77">
        <v>1301</v>
      </c>
      <c r="T187" s="77" t="s">
        <v>3844</v>
      </c>
    </row>
    <row r="188" spans="19:20">
      <c r="S188" s="77">
        <v>302</v>
      </c>
      <c r="T188" s="77" t="s">
        <v>2265</v>
      </c>
    </row>
    <row r="189" spans="19:20">
      <c r="S189" s="77">
        <v>1302</v>
      </c>
      <c r="T189" s="77" t="s">
        <v>551</v>
      </c>
    </row>
    <row r="190" spans="19:20">
      <c r="S190" s="77">
        <v>101</v>
      </c>
      <c r="T190" s="77" t="s">
        <v>1922</v>
      </c>
    </row>
    <row r="191" spans="19:20">
      <c r="S191" s="77">
        <v>1101</v>
      </c>
      <c r="T191" s="77" t="s">
        <v>2289</v>
      </c>
    </row>
    <row r="192" spans="19:20">
      <c r="S192" s="77">
        <v>109</v>
      </c>
      <c r="T192" s="77" t="s">
        <v>3201</v>
      </c>
    </row>
    <row r="193" spans="19:20">
      <c r="S193" s="77">
        <v>1109</v>
      </c>
      <c r="T193" s="77" t="s">
        <v>1647</v>
      </c>
    </row>
    <row r="194" spans="19:20">
      <c r="S194" s="77">
        <v>10030</v>
      </c>
      <c r="T194" s="77" t="s">
        <v>1636</v>
      </c>
    </row>
    <row r="195" spans="19:20">
      <c r="S195" s="77">
        <v>10031</v>
      </c>
      <c r="T195" s="77" t="s">
        <v>712</v>
      </c>
    </row>
    <row r="196" spans="19:20">
      <c r="S196" s="77">
        <v>303</v>
      </c>
      <c r="T196" s="77" t="s">
        <v>2266</v>
      </c>
    </row>
    <row r="197" spans="19:20">
      <c r="S197" s="77">
        <v>1303</v>
      </c>
      <c r="T197" s="77" t="s">
        <v>2131</v>
      </c>
    </row>
    <row r="198" spans="19:20">
      <c r="S198" s="77">
        <v>102</v>
      </c>
      <c r="T198" s="77" t="s">
        <v>548</v>
      </c>
    </row>
    <row r="199" spans="19:20">
      <c r="S199" s="77">
        <v>1102</v>
      </c>
      <c r="T199" s="77" t="s">
        <v>3347</v>
      </c>
    </row>
    <row r="200" spans="19:20">
      <c r="S200" s="77">
        <v>201</v>
      </c>
      <c r="T200" s="77" t="s">
        <v>2457</v>
      </c>
    </row>
    <row r="201" spans="19:20">
      <c r="S201" s="77">
        <v>202</v>
      </c>
      <c r="T201" s="77" t="s">
        <v>1640</v>
      </c>
    </row>
    <row r="202" spans="19:20">
      <c r="S202" s="77">
        <v>110</v>
      </c>
      <c r="T202" s="77" t="s">
        <v>3202</v>
      </c>
    </row>
    <row r="203" spans="19:20">
      <c r="S203" s="77">
        <v>1110</v>
      </c>
      <c r="T203" s="77" t="s">
        <v>1648</v>
      </c>
    </row>
    <row r="204" spans="19:20">
      <c r="S204" s="77">
        <v>120</v>
      </c>
      <c r="T204" s="77" t="s">
        <v>2814</v>
      </c>
    </row>
    <row r="205" spans="19:20">
      <c r="S205" s="77">
        <v>1120</v>
      </c>
      <c r="T205" s="77" t="s">
        <v>307</v>
      </c>
    </row>
    <row r="206" spans="19:20">
      <c r="S206" s="77">
        <v>203</v>
      </c>
      <c r="T206" s="77" t="s">
        <v>2710</v>
      </c>
    </row>
    <row r="207" spans="19:20">
      <c r="S207" s="77">
        <v>204</v>
      </c>
      <c r="T207" s="77" t="s">
        <v>2336</v>
      </c>
    </row>
    <row r="208" spans="19:20">
      <c r="S208" s="77">
        <v>1204</v>
      </c>
      <c r="T208" s="77" t="s">
        <v>777</v>
      </c>
    </row>
    <row r="209" spans="19:20">
      <c r="S209" s="77">
        <v>1203</v>
      </c>
      <c r="T209" s="77" t="s">
        <v>3821</v>
      </c>
    </row>
    <row r="210" spans="19:20">
      <c r="S210" s="77">
        <v>10047</v>
      </c>
      <c r="T210" s="77" t="s">
        <v>813</v>
      </c>
    </row>
    <row r="211" spans="19:20">
      <c r="S211" s="77">
        <v>10048</v>
      </c>
      <c r="T211" s="77" t="s">
        <v>814</v>
      </c>
    </row>
    <row r="212" spans="19:20">
      <c r="S212" s="77">
        <v>10016</v>
      </c>
      <c r="T212" s="77" t="s">
        <v>213</v>
      </c>
    </row>
    <row r="213" spans="19:20">
      <c r="S213" s="77">
        <v>10017</v>
      </c>
      <c r="T213" s="77" t="s">
        <v>3450</v>
      </c>
    </row>
    <row r="214" spans="19:20">
      <c r="S214" s="77">
        <v>10002</v>
      </c>
      <c r="T214" s="77" t="s">
        <v>3778</v>
      </c>
    </row>
    <row r="215" spans="19:20">
      <c r="S215" s="77">
        <v>10005</v>
      </c>
      <c r="T215" s="77" t="s">
        <v>3779</v>
      </c>
    </row>
    <row r="216" spans="19:20">
      <c r="S216" s="77">
        <v>10049</v>
      </c>
      <c r="T216" s="77" t="s">
        <v>225</v>
      </c>
    </row>
    <row r="217" spans="19:20">
      <c r="S217" s="77">
        <v>10050</v>
      </c>
      <c r="T217" s="77" t="s">
        <v>1439</v>
      </c>
    </row>
    <row r="218" spans="19:20">
      <c r="S218" s="77">
        <v>10022</v>
      </c>
      <c r="T218" s="77" t="s">
        <v>216</v>
      </c>
    </row>
    <row r="219" spans="19:20">
      <c r="S219" s="77">
        <v>10023</v>
      </c>
      <c r="T219" s="77" t="s">
        <v>3807</v>
      </c>
    </row>
    <row r="220" spans="19:20">
      <c r="S220" s="77">
        <v>10010</v>
      </c>
      <c r="T220" s="77" t="s">
        <v>452</v>
      </c>
    </row>
    <row r="221" spans="19:20">
      <c r="S221" s="77">
        <v>10012</v>
      </c>
      <c r="T221" s="77" t="s">
        <v>1359</v>
      </c>
    </row>
    <row r="222" spans="19:20">
      <c r="S222" s="77">
        <v>10000</v>
      </c>
      <c r="T222" s="77" t="s">
        <v>441</v>
      </c>
    </row>
    <row r="223" spans="19:20">
      <c r="S223" s="77">
        <v>10045</v>
      </c>
      <c r="T223" s="77" t="s">
        <v>357</v>
      </c>
    </row>
    <row r="224" spans="19:20">
      <c r="S224" s="77">
        <v>10046</v>
      </c>
      <c r="T224" s="77" t="s">
        <v>1879</v>
      </c>
    </row>
    <row r="225" spans="19:20">
      <c r="S225" s="77">
        <v>10003</v>
      </c>
      <c r="T225" s="77" t="s">
        <v>315</v>
      </c>
    </row>
    <row r="226" spans="19:20">
      <c r="S226" s="77">
        <v>10032</v>
      </c>
      <c r="T226" s="77" t="s">
        <v>1796</v>
      </c>
    </row>
    <row r="227" spans="19:20">
      <c r="S227" s="77">
        <v>10008</v>
      </c>
      <c r="T227" s="77" t="s">
        <v>3223</v>
      </c>
    </row>
    <row r="228" spans="19:20">
      <c r="S228" s="77">
        <v>10009</v>
      </c>
      <c r="T228" s="77" t="s">
        <v>1358</v>
      </c>
    </row>
    <row r="229" spans="19:20">
      <c r="S229" s="77">
        <v>10035</v>
      </c>
      <c r="T229" s="77" t="s">
        <v>675</v>
      </c>
    </row>
    <row r="230" spans="19:20">
      <c r="S230" s="77">
        <v>10051</v>
      </c>
      <c r="T230" s="77" t="s">
        <v>1563</v>
      </c>
    </row>
    <row r="231" spans="19:20">
      <c r="S231" s="77">
        <v>10052</v>
      </c>
      <c r="T231" s="77" t="s">
        <v>3209</v>
      </c>
    </row>
    <row r="232" spans="19:20">
      <c r="S232" s="77">
        <v>10018</v>
      </c>
      <c r="T232" s="77" t="s">
        <v>214</v>
      </c>
    </row>
    <row r="233" spans="19:20">
      <c r="S233" s="77">
        <v>10019</v>
      </c>
      <c r="T233" s="77" t="s">
        <v>2489</v>
      </c>
    </row>
    <row r="234" spans="19:20">
      <c r="S234" s="77">
        <v>10106</v>
      </c>
      <c r="T234" s="77" t="s">
        <v>298</v>
      </c>
    </row>
    <row r="235" spans="19:20">
      <c r="S235" s="77">
        <v>10080</v>
      </c>
      <c r="T235" s="77" t="s">
        <v>2913</v>
      </c>
    </row>
    <row r="236" spans="19:20">
      <c r="S236" s="77">
        <v>10081</v>
      </c>
      <c r="T236" s="77" t="s">
        <v>2526</v>
      </c>
    </row>
    <row r="237" spans="19:20">
      <c r="S237" s="77">
        <v>10107</v>
      </c>
      <c r="T237" s="77" t="s">
        <v>2318</v>
      </c>
    </row>
    <row r="238" spans="19:20">
      <c r="S238" s="77">
        <v>10011</v>
      </c>
      <c r="T238" s="77" t="s">
        <v>453</v>
      </c>
    </row>
    <row r="239" spans="19:20">
      <c r="S239" s="77">
        <v>10013</v>
      </c>
      <c r="T239" s="77" t="s">
        <v>1360</v>
      </c>
    </row>
    <row r="240" spans="19:20">
      <c r="S240" s="77">
        <v>10014</v>
      </c>
      <c r="T240" s="77" t="s">
        <v>212</v>
      </c>
    </row>
    <row r="241" spans="19:20">
      <c r="S241" s="77">
        <v>10015</v>
      </c>
      <c r="T241" s="77" t="s">
        <v>3449</v>
      </c>
    </row>
    <row r="242" spans="19:20">
      <c r="S242" s="77">
        <v>10036</v>
      </c>
      <c r="T242" s="77" t="s">
        <v>2259</v>
      </c>
    </row>
    <row r="243" spans="19:20">
      <c r="S243" s="77">
        <v>10024</v>
      </c>
      <c r="T243" s="77" t="s">
        <v>217</v>
      </c>
    </row>
    <row r="244" spans="19:20">
      <c r="S244" s="77">
        <v>10025</v>
      </c>
      <c r="T244" s="77" t="s">
        <v>711</v>
      </c>
    </row>
    <row r="245" spans="19:20">
      <c r="S245" s="77">
        <v>10001</v>
      </c>
      <c r="T245" s="77" t="s">
        <v>1033</v>
      </c>
    </row>
    <row r="246" spans="19:20">
      <c r="S246" s="77">
        <v>10020</v>
      </c>
      <c r="T246" s="77" t="s">
        <v>215</v>
      </c>
    </row>
    <row r="247" spans="19:20">
      <c r="S247" s="77">
        <v>10021</v>
      </c>
      <c r="T247" s="77" t="s">
        <v>2490</v>
      </c>
    </row>
    <row r="248" spans="19:20">
      <c r="S248" s="77">
        <v>10004</v>
      </c>
      <c r="T248" s="77" t="s">
        <v>1700</v>
      </c>
    </row>
    <row r="249" spans="19:20">
      <c r="S249" s="77">
        <v>10033</v>
      </c>
      <c r="T249" s="77" t="s">
        <v>232</v>
      </c>
    </row>
    <row r="250" spans="19:20">
      <c r="S250" s="77">
        <v>10034</v>
      </c>
      <c r="T250" s="77" t="s">
        <v>2763</v>
      </c>
    </row>
    <row r="251" spans="19:20">
      <c r="S251" s="77">
        <v>10125</v>
      </c>
      <c r="T251" s="77" t="s">
        <v>45</v>
      </c>
    </row>
    <row r="252" spans="19:20">
      <c r="S252" s="77">
        <v>10126</v>
      </c>
      <c r="T252" s="77" t="s">
        <v>46</v>
      </c>
    </row>
    <row r="253" spans="19:20">
      <c r="S253" s="77">
        <v>10124</v>
      </c>
      <c r="T253" s="77" t="s">
        <v>676</v>
      </c>
    </row>
    <row r="254" spans="19:20">
      <c r="S254" s="77">
        <v>10129</v>
      </c>
      <c r="T254" s="77" t="s">
        <v>2371</v>
      </c>
    </row>
    <row r="255" spans="19:20">
      <c r="S255" s="77">
        <v>10113</v>
      </c>
      <c r="T255" s="77" t="s">
        <v>2727</v>
      </c>
    </row>
    <row r="256" spans="19:20">
      <c r="S256" s="77">
        <v>10114</v>
      </c>
      <c r="T256" s="77" t="s">
        <v>2728</v>
      </c>
    </row>
    <row r="257" spans="19:20">
      <c r="S257" s="77">
        <v>10127</v>
      </c>
      <c r="T257" s="77" t="s">
        <v>1660</v>
      </c>
    </row>
    <row r="258" spans="19:20">
      <c r="S258" s="77">
        <v>10128</v>
      </c>
      <c r="T258" s="77" t="s">
        <v>1869</v>
      </c>
    </row>
    <row r="259" spans="19:20">
      <c r="S259" s="77">
        <v>10108</v>
      </c>
      <c r="T259" s="77" t="s">
        <v>775</v>
      </c>
    </row>
    <row r="260" spans="19:20">
      <c r="S260" s="77">
        <v>10082</v>
      </c>
      <c r="T260" s="77" t="s">
        <v>127</v>
      </c>
    </row>
    <row r="261" spans="19:20">
      <c r="S261" s="77">
        <v>10083</v>
      </c>
      <c r="T261" s="77" t="s">
        <v>388</v>
      </c>
    </row>
    <row r="262" spans="19:20">
      <c r="S262" s="77">
        <v>10109</v>
      </c>
      <c r="T262" s="77" t="s">
        <v>776</v>
      </c>
    </row>
    <row r="263" spans="19:20">
      <c r="S263" s="77">
        <v>10188</v>
      </c>
      <c r="T263" s="77" t="s">
        <v>716</v>
      </c>
    </row>
    <row r="264" spans="19:20">
      <c r="S264" s="77">
        <v>10189</v>
      </c>
      <c r="T264" s="77" t="s">
        <v>3390</v>
      </c>
    </row>
    <row r="265" spans="19:20">
      <c r="S265" s="77">
        <v>10159</v>
      </c>
      <c r="T265" s="77" t="s">
        <v>2269</v>
      </c>
    </row>
    <row r="266" spans="19:20">
      <c r="S266" s="77">
        <v>10161</v>
      </c>
      <c r="T266" s="77" t="s">
        <v>1207</v>
      </c>
    </row>
    <row r="267" spans="19:20">
      <c r="S267" s="77">
        <v>10162</v>
      </c>
      <c r="T267" s="77" t="s">
        <v>1208</v>
      </c>
    </row>
    <row r="268" spans="19:20">
      <c r="S268" s="77">
        <v>10160</v>
      </c>
      <c r="T268" s="77" t="s">
        <v>2270</v>
      </c>
    </row>
    <row r="269" spans="19:20">
      <c r="S269" s="77">
        <v>10163</v>
      </c>
      <c r="T269" s="77" t="s">
        <v>1968</v>
      </c>
    </row>
    <row r="270" spans="19:20">
      <c r="S270" s="77">
        <v>10199</v>
      </c>
      <c r="T270" s="77" t="s">
        <v>2748</v>
      </c>
    </row>
    <row r="271" spans="19:20">
      <c r="S271" s="77">
        <v>10200</v>
      </c>
      <c r="T271" s="77" t="s">
        <v>2749</v>
      </c>
    </row>
    <row r="272" spans="19:20">
      <c r="S272" s="77">
        <v>10201</v>
      </c>
      <c r="T272" s="77" t="s">
        <v>907</v>
      </c>
    </row>
    <row r="273" spans="19:20">
      <c r="S273" s="77">
        <v>10141</v>
      </c>
      <c r="T273" s="77" t="s">
        <v>3335</v>
      </c>
    </row>
    <row r="274" spans="19:20">
      <c r="S274" s="77">
        <v>10156</v>
      </c>
      <c r="T274" s="77" t="s">
        <v>656</v>
      </c>
    </row>
    <row r="275" spans="19:20">
      <c r="S275" s="77">
        <v>10157</v>
      </c>
      <c r="T275" s="77" t="s">
        <v>657</v>
      </c>
    </row>
    <row r="276" spans="19:20">
      <c r="S276" s="77">
        <v>10142</v>
      </c>
      <c r="T276" s="77" t="s">
        <v>3336</v>
      </c>
    </row>
    <row r="277" spans="19:20">
      <c r="S277" s="77">
        <v>10158</v>
      </c>
      <c r="T277" s="77" t="s">
        <v>1875</v>
      </c>
    </row>
    <row r="278" spans="19:20">
      <c r="S278" s="77">
        <v>10220</v>
      </c>
      <c r="T278" s="77" t="s">
        <v>358</v>
      </c>
    </row>
    <row r="279" spans="19:20">
      <c r="S279" s="77">
        <v>10221</v>
      </c>
      <c r="T279" s="77" t="s">
        <v>359</v>
      </c>
    </row>
    <row r="280" spans="19:20">
      <c r="S280" s="77">
        <v>10202</v>
      </c>
      <c r="T280" s="77" t="s">
        <v>910</v>
      </c>
    </row>
    <row r="281" spans="19:20">
      <c r="S281" s="77">
        <v>10203</v>
      </c>
      <c r="T281" s="77" t="s">
        <v>911</v>
      </c>
    </row>
    <row r="282" spans="19:20">
      <c r="S282" s="77">
        <v>10204</v>
      </c>
      <c r="T282" s="77" t="s">
        <v>918</v>
      </c>
    </row>
    <row r="283" spans="19:20">
      <c r="S283" s="77">
        <v>10222</v>
      </c>
      <c r="T283" s="77" t="s">
        <v>625</v>
      </c>
    </row>
    <row r="284" spans="19:20">
      <c r="S284" s="77">
        <v>10223</v>
      </c>
      <c r="T284" s="77" t="s">
        <v>626</v>
      </c>
    </row>
    <row r="285" spans="19:20">
      <c r="S285" s="77">
        <v>8</v>
      </c>
      <c r="T285" s="77" t="s">
        <v>1667</v>
      </c>
    </row>
    <row r="286" spans="19:20">
      <c r="S286" s="77">
        <v>9</v>
      </c>
      <c r="T286" s="77" t="s">
        <v>3652</v>
      </c>
    </row>
    <row r="287" spans="19:20">
      <c r="S287" s="77">
        <v>4</v>
      </c>
      <c r="T287" s="77" t="s">
        <v>1334</v>
      </c>
    </row>
    <row r="288" spans="19:20">
      <c r="S288" s="77">
        <v>5</v>
      </c>
      <c r="T288" s="77" t="s">
        <v>885</v>
      </c>
    </row>
    <row r="289" spans="19:20">
      <c r="S289" s="77">
        <v>6</v>
      </c>
      <c r="T289" s="77" t="s">
        <v>2016</v>
      </c>
    </row>
    <row r="290" spans="19:20">
      <c r="S290" s="77">
        <v>7</v>
      </c>
      <c r="T290" s="77" t="s">
        <v>3472</v>
      </c>
    </row>
    <row r="291" spans="19:20">
      <c r="S291" s="77">
        <v>11</v>
      </c>
      <c r="T291" s="77" t="s">
        <v>3654</v>
      </c>
    </row>
    <row r="292" spans="19:20">
      <c r="S292" s="77">
        <v>12</v>
      </c>
      <c r="T292" s="77" t="s">
        <v>1769</v>
      </c>
    </row>
    <row r="293" spans="19:20">
      <c r="S293" s="77">
        <v>13</v>
      </c>
      <c r="T293" s="77" t="s">
        <v>1770</v>
      </c>
    </row>
    <row r="294" spans="19:20">
      <c r="S294" s="77">
        <v>10</v>
      </c>
      <c r="T294" s="77" t="s">
        <v>3653</v>
      </c>
    </row>
    <row r="295" spans="19:20">
      <c r="S295" s="77">
        <v>14</v>
      </c>
      <c r="T295" s="77" t="s">
        <v>1771</v>
      </c>
    </row>
    <row r="296" spans="19:20">
      <c r="S296" s="77">
        <v>15</v>
      </c>
      <c r="T296" s="77" t="s">
        <v>1772</v>
      </c>
    </row>
    <row r="297" spans="19:20">
      <c r="S297" s="77">
        <v>17</v>
      </c>
      <c r="T297" s="77" t="s">
        <v>2319</v>
      </c>
    </row>
    <row r="298" spans="19:20">
      <c r="S298" s="77">
        <v>18</v>
      </c>
      <c r="T298" s="77" t="s">
        <v>245</v>
      </c>
    </row>
    <row r="299" spans="19:20">
      <c r="S299" s="77">
        <v>16</v>
      </c>
      <c r="T299" s="77" t="s">
        <v>771</v>
      </c>
    </row>
    <row r="300" spans="19:20">
      <c r="S300" s="77">
        <v>19</v>
      </c>
      <c r="T300" s="77" t="s">
        <v>246</v>
      </c>
    </row>
    <row r="301" spans="19:20">
      <c r="S301" s="77">
        <v>43</v>
      </c>
      <c r="T301" s="77" t="s">
        <v>37</v>
      </c>
    </row>
    <row r="302" spans="19:20">
      <c r="S302" s="77">
        <v>34</v>
      </c>
      <c r="T302" s="77" t="s">
        <v>3537</v>
      </c>
    </row>
    <row r="303" spans="19:20">
      <c r="S303" s="77">
        <v>1034</v>
      </c>
      <c r="T303" s="77" t="s">
        <v>3524</v>
      </c>
    </row>
    <row r="304" spans="19:20">
      <c r="S304" s="77">
        <v>35</v>
      </c>
      <c r="T304" s="77" t="s">
        <v>785</v>
      </c>
    </row>
    <row r="305" spans="19:20">
      <c r="S305" s="77">
        <v>1035</v>
      </c>
      <c r="T305" s="77" t="s">
        <v>1082</v>
      </c>
    </row>
    <row r="306" spans="19:20">
      <c r="S306" s="77">
        <v>26</v>
      </c>
      <c r="T306" s="77" t="s">
        <v>1561</v>
      </c>
    </row>
    <row r="307" spans="19:20">
      <c r="S307" s="77">
        <v>1026</v>
      </c>
      <c r="T307" s="77" t="s">
        <v>38</v>
      </c>
    </row>
    <row r="308" spans="19:20">
      <c r="S308" s="77">
        <v>32</v>
      </c>
      <c r="T308" s="77" t="s">
        <v>1221</v>
      </c>
    </row>
    <row r="309" spans="19:20">
      <c r="S309" s="77">
        <v>1032</v>
      </c>
      <c r="T309" s="77" t="s">
        <v>2235</v>
      </c>
    </row>
    <row r="310" spans="19:20">
      <c r="S310" s="77">
        <v>31</v>
      </c>
      <c r="T310" s="77" t="s">
        <v>1676</v>
      </c>
    </row>
    <row r="311" spans="19:20">
      <c r="S311" s="77">
        <v>1031</v>
      </c>
      <c r="T311" s="77" t="s">
        <v>906</v>
      </c>
    </row>
    <row r="312" spans="19:20">
      <c r="S312" s="77">
        <v>29</v>
      </c>
      <c r="T312" s="77" t="s">
        <v>1674</v>
      </c>
    </row>
    <row r="313" spans="19:20">
      <c r="S313" s="77">
        <v>1029</v>
      </c>
      <c r="T313" s="77" t="s">
        <v>224</v>
      </c>
    </row>
    <row r="314" spans="19:20">
      <c r="S314" s="77">
        <v>30</v>
      </c>
      <c r="T314" s="77" t="s">
        <v>1675</v>
      </c>
    </row>
    <row r="315" spans="19:20">
      <c r="S315" s="77">
        <v>1030</v>
      </c>
      <c r="T315" s="77" t="s">
        <v>2335</v>
      </c>
    </row>
    <row r="316" spans="19:20">
      <c r="S316" s="77">
        <v>33</v>
      </c>
      <c r="T316" s="77" t="s">
        <v>463</v>
      </c>
    </row>
    <row r="317" spans="19:20">
      <c r="S317" s="77">
        <v>1033</v>
      </c>
      <c r="T317" s="77" t="s">
        <v>2239</v>
      </c>
    </row>
    <row r="318" spans="19:20">
      <c r="S318" s="77">
        <v>27</v>
      </c>
      <c r="T318" s="77" t="s">
        <v>3851</v>
      </c>
    </row>
    <row r="319" spans="19:20">
      <c r="S319" s="77">
        <v>1027</v>
      </c>
      <c r="T319" s="77" t="s">
        <v>301</v>
      </c>
    </row>
    <row r="320" spans="19:20">
      <c r="S320" s="77">
        <v>28</v>
      </c>
      <c r="T320" s="77" t="s">
        <v>3078</v>
      </c>
    </row>
    <row r="321" spans="19:20">
      <c r="S321" s="77">
        <v>1028</v>
      </c>
      <c r="T321" s="77" t="s">
        <v>302</v>
      </c>
    </row>
    <row r="322" spans="19:20">
      <c r="S322" s="77">
        <v>2</v>
      </c>
      <c r="T322" s="77" t="s">
        <v>2378</v>
      </c>
    </row>
    <row r="323" spans="19:20">
      <c r="S323" s="77">
        <v>3</v>
      </c>
      <c r="T323" s="77" t="s">
        <v>2379</v>
      </c>
    </row>
    <row r="324" spans="19:20">
      <c r="S324" s="77">
        <v>1</v>
      </c>
      <c r="T324" s="77" t="s">
        <v>1537</v>
      </c>
    </row>
    <row r="325" spans="19:20">
      <c r="S325" s="77">
        <v>108</v>
      </c>
      <c r="T325" s="77" t="s">
        <v>3192</v>
      </c>
    </row>
    <row r="326" spans="19:20">
      <c r="S326" s="77">
        <v>107</v>
      </c>
      <c r="T326" s="77" t="s">
        <v>3191</v>
      </c>
    </row>
    <row r="327" spans="19:20">
      <c r="S327" s="77">
        <v>106</v>
      </c>
      <c r="T327" s="77" t="s">
        <v>3848</v>
      </c>
    </row>
    <row r="328" spans="19:20">
      <c r="S328" s="77">
        <v>38</v>
      </c>
      <c r="T328" s="77" t="s">
        <v>2078</v>
      </c>
    </row>
    <row r="329" spans="19:20">
      <c r="S329" s="77">
        <v>1038</v>
      </c>
      <c r="T329" s="77" t="s">
        <v>211</v>
      </c>
    </row>
    <row r="330" spans="19:20">
      <c r="S330" s="77">
        <v>37</v>
      </c>
      <c r="T330" s="77" t="s">
        <v>1611</v>
      </c>
    </row>
    <row r="331" spans="19:20">
      <c r="S331" s="77">
        <v>1037</v>
      </c>
      <c r="T331" s="77" t="s">
        <v>124</v>
      </c>
    </row>
    <row r="332" spans="19:20">
      <c r="S332" s="77">
        <v>36</v>
      </c>
      <c r="T332" s="77" t="s">
        <v>786</v>
      </c>
    </row>
    <row r="333" spans="19:20">
      <c r="S333" s="77">
        <v>1036</v>
      </c>
      <c r="T333" s="77"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baseColWidth="10" defaultColWidth="9.33203125" defaultRowHeight="12.75"/>
  <cols>
    <col min="1" max="1" width="8" style="91" customWidth="1"/>
    <col min="2" max="2" width="30.83203125" style="91" customWidth="1"/>
    <col min="3" max="5" width="6.33203125" style="91" customWidth="1"/>
    <col min="6" max="8" width="6.33203125" style="131" customWidth="1"/>
    <col min="9" max="9" width="8.33203125" style="91" customWidth="1"/>
    <col min="10" max="10" width="9.33203125" style="91"/>
    <col min="11" max="11" width="7.83203125" style="91" customWidth="1"/>
    <col min="12" max="12" width="6.33203125" style="91" customWidth="1"/>
    <col min="13" max="13" width="7.6640625" style="91" customWidth="1"/>
    <col min="14" max="14" width="7.83203125" style="3" customWidth="1"/>
    <col min="15" max="15" width="8.83203125" style="3" customWidth="1"/>
    <col min="16" max="16" width="23.1640625" style="3" bestFit="1" customWidth="1"/>
    <col min="17" max="17" width="15.1640625" style="3" bestFit="1" customWidth="1"/>
    <col min="18" max="18" width="15.1640625" style="3" customWidth="1"/>
    <col min="19" max="23" width="10.83203125" style="91" customWidth="1"/>
    <col min="24" max="24" width="15.33203125" style="91" customWidth="1"/>
    <col min="25" max="27" width="9.33203125" style="91"/>
    <col min="28" max="28" width="10.33203125" style="91" bestFit="1" customWidth="1"/>
    <col min="29" max="16384" width="9.33203125" style="91"/>
  </cols>
  <sheetData>
    <row r="1" spans="1:27" s="99" customFormat="1" ht="21" thickBot="1">
      <c r="A1" s="132" t="s">
        <v>1617</v>
      </c>
      <c r="B1" s="98"/>
      <c r="C1" s="97"/>
      <c r="D1" s="97" t="str">
        <f>CONCATENATE(Q1,"(",U1,")")</f>
        <v>FANUC Payload Checker ver.7.41(2016/1/15)</v>
      </c>
      <c r="E1" s="134"/>
      <c r="F1" s="97"/>
      <c r="G1" s="97"/>
      <c r="H1" s="97"/>
      <c r="I1" s="98"/>
      <c r="J1" s="97"/>
      <c r="K1" s="97"/>
      <c r="L1" s="97"/>
      <c r="M1" s="97"/>
      <c r="N1" s="3"/>
      <c r="O1" s="3"/>
      <c r="P1" s="3" t="s">
        <v>4034</v>
      </c>
      <c r="Q1" s="3" t="s">
        <v>2254</v>
      </c>
      <c r="R1" s="3"/>
      <c r="U1" s="705" t="s">
        <v>3427</v>
      </c>
    </row>
    <row r="2" spans="1:27" s="100" customFormat="1">
      <c r="A2" s="100" t="s">
        <v>2551</v>
      </c>
      <c r="B2" s="101"/>
      <c r="D2" s="102"/>
      <c r="F2" s="91"/>
      <c r="G2" s="103"/>
      <c r="H2" s="103"/>
      <c r="I2" s="104"/>
      <c r="L2" s="3"/>
      <c r="M2" s="3"/>
      <c r="N2" s="3"/>
      <c r="O2" s="3"/>
      <c r="P2" s="3"/>
      <c r="Q2" s="3"/>
      <c r="R2" s="3"/>
      <c r="S2" s="100" t="s">
        <v>1516</v>
      </c>
    </row>
    <row r="3" spans="1:27">
      <c r="F3" s="105"/>
      <c r="G3" s="106" t="s">
        <v>2141</v>
      </c>
      <c r="H3" s="107"/>
      <c r="I3" s="107"/>
      <c r="J3" s="108"/>
      <c r="K3" s="109"/>
    </row>
    <row r="4" spans="1:27">
      <c r="A4" s="137" t="s">
        <v>3057</v>
      </c>
      <c r="B4" s="136" t="s">
        <v>3058</v>
      </c>
      <c r="C4" s="110" t="s">
        <v>487</v>
      </c>
      <c r="D4" s="111"/>
      <c r="E4" s="112"/>
      <c r="F4" s="113" t="s">
        <v>2231</v>
      </c>
      <c r="G4" s="114"/>
      <c r="H4" s="114"/>
      <c r="I4" s="115" t="s">
        <v>3359</v>
      </c>
      <c r="J4" s="3"/>
      <c r="K4" s="116"/>
      <c r="L4" s="79" t="s">
        <v>1701</v>
      </c>
      <c r="M4" s="139" t="s">
        <v>1618</v>
      </c>
      <c r="N4" s="139" t="s">
        <v>1618</v>
      </c>
      <c r="O4" s="281" t="s">
        <v>3726</v>
      </c>
      <c r="P4" s="139" t="s">
        <v>3179</v>
      </c>
      <c r="Q4" s="281" t="s">
        <v>3204</v>
      </c>
      <c r="R4" s="440" t="s">
        <v>1593</v>
      </c>
      <c r="S4" s="276" t="s">
        <v>1349</v>
      </c>
      <c r="T4" s="117" t="s">
        <v>641</v>
      </c>
      <c r="U4" s="117" t="s">
        <v>2157</v>
      </c>
      <c r="V4" s="117" t="s">
        <v>1381</v>
      </c>
      <c r="W4" s="118" t="s">
        <v>1381</v>
      </c>
    </row>
    <row r="5" spans="1:27" ht="13.5" thickBot="1">
      <c r="A5" s="127" t="s">
        <v>3116</v>
      </c>
      <c r="B5" s="138"/>
      <c r="C5" s="119" t="s">
        <v>3117</v>
      </c>
      <c r="D5" s="120" t="s">
        <v>1830</v>
      </c>
      <c r="E5" s="120" t="s">
        <v>1831</v>
      </c>
      <c r="F5" s="121" t="s">
        <v>3117</v>
      </c>
      <c r="G5" s="121" t="s">
        <v>1830</v>
      </c>
      <c r="H5" s="122" t="s">
        <v>1831</v>
      </c>
      <c r="I5" s="122" t="s">
        <v>3117</v>
      </c>
      <c r="J5" s="122" t="s">
        <v>1830</v>
      </c>
      <c r="K5" s="123" t="s">
        <v>1831</v>
      </c>
      <c r="L5" s="124" t="s">
        <v>1910</v>
      </c>
      <c r="M5" s="140" t="s">
        <v>299</v>
      </c>
      <c r="N5" s="140" t="s">
        <v>2142</v>
      </c>
      <c r="O5" s="282" t="s">
        <v>3518</v>
      </c>
      <c r="P5" s="283" t="s">
        <v>3560</v>
      </c>
      <c r="Q5" s="438" t="s">
        <v>3560</v>
      </c>
      <c r="R5" s="441" t="s">
        <v>1594</v>
      </c>
      <c r="S5" s="277" t="s">
        <v>1076</v>
      </c>
      <c r="T5" s="125" t="s">
        <v>2156</v>
      </c>
      <c r="U5" s="125" t="s">
        <v>1382</v>
      </c>
      <c r="V5" s="125" t="s">
        <v>2158</v>
      </c>
      <c r="W5" s="126" t="s">
        <v>641</v>
      </c>
    </row>
    <row r="6" spans="1:27" ht="14.25" thickTop="1" thickBot="1">
      <c r="A6" s="823">
        <v>1</v>
      </c>
      <c r="B6" s="824" t="s">
        <v>1537</v>
      </c>
      <c r="C6" s="825">
        <v>1</v>
      </c>
      <c r="D6" s="825">
        <v>1</v>
      </c>
      <c r="E6" s="826">
        <v>2</v>
      </c>
      <c r="F6" s="827">
        <v>1372</v>
      </c>
      <c r="G6" s="827">
        <v>1372</v>
      </c>
      <c r="H6" s="827">
        <v>686</v>
      </c>
      <c r="I6" s="828">
        <v>78.400000000000006</v>
      </c>
      <c r="J6" s="828">
        <v>78.400000000000006</v>
      </c>
      <c r="K6" s="828">
        <v>24.5</v>
      </c>
      <c r="L6" s="829">
        <v>300</v>
      </c>
      <c r="M6" s="829">
        <v>0.255</v>
      </c>
      <c r="N6" s="829"/>
      <c r="O6" s="830">
        <v>1</v>
      </c>
      <c r="P6" s="831" t="s">
        <v>1537</v>
      </c>
      <c r="Q6" s="832"/>
      <c r="R6" s="833"/>
      <c r="S6" s="278"/>
      <c r="T6" s="128"/>
      <c r="U6" s="128" t="s">
        <v>1271</v>
      </c>
      <c r="V6" s="128"/>
      <c r="W6" s="129" t="s">
        <v>3532</v>
      </c>
    </row>
    <row r="7" spans="1:27" ht="13.5" thickTop="1">
      <c r="A7" s="834">
        <v>2</v>
      </c>
      <c r="B7" s="835" t="s">
        <v>2378</v>
      </c>
      <c r="C7" s="836">
        <v>3</v>
      </c>
      <c r="D7" s="836">
        <v>3</v>
      </c>
      <c r="E7" s="837">
        <v>4</v>
      </c>
      <c r="F7" s="838">
        <v>1176</v>
      </c>
      <c r="G7" s="838">
        <v>1176</v>
      </c>
      <c r="H7" s="838">
        <v>686</v>
      </c>
      <c r="I7" s="839">
        <v>72</v>
      </c>
      <c r="J7" s="839">
        <v>72</v>
      </c>
      <c r="K7" s="839">
        <v>24.5</v>
      </c>
      <c r="L7" s="831">
        <v>200</v>
      </c>
      <c r="M7" s="831">
        <v>0.255</v>
      </c>
      <c r="N7" s="831"/>
      <c r="O7" s="832">
        <v>1</v>
      </c>
      <c r="P7" s="831" t="s">
        <v>2378</v>
      </c>
      <c r="Q7" s="832"/>
      <c r="R7" s="833"/>
      <c r="S7" s="869">
        <v>1</v>
      </c>
      <c r="T7" s="831">
        <v>2.83</v>
      </c>
      <c r="U7" s="831">
        <v>1594</v>
      </c>
      <c r="V7" s="831">
        <v>1372</v>
      </c>
      <c r="W7" s="831">
        <v>514</v>
      </c>
      <c r="Z7" s="91" t="s">
        <v>3346</v>
      </c>
      <c r="AA7" s="130" t="s">
        <v>723</v>
      </c>
    </row>
    <row r="8" spans="1:27">
      <c r="A8" s="834">
        <v>3</v>
      </c>
      <c r="B8" s="835" t="s">
        <v>2379</v>
      </c>
      <c r="C8" s="836">
        <v>5</v>
      </c>
      <c r="D8" s="836">
        <v>5</v>
      </c>
      <c r="E8" s="837">
        <v>6</v>
      </c>
      <c r="F8" s="838">
        <v>882</v>
      </c>
      <c r="G8" s="838">
        <v>882</v>
      </c>
      <c r="H8" s="838">
        <v>490</v>
      </c>
      <c r="I8" s="839">
        <v>49.1</v>
      </c>
      <c r="J8" s="839">
        <v>49.1</v>
      </c>
      <c r="K8" s="839">
        <v>20.8</v>
      </c>
      <c r="L8" s="831">
        <v>165</v>
      </c>
      <c r="M8" s="831">
        <v>0.255</v>
      </c>
      <c r="N8" s="831"/>
      <c r="O8" s="832">
        <v>1</v>
      </c>
      <c r="P8" s="831" t="s">
        <v>2379</v>
      </c>
      <c r="Q8" s="832"/>
      <c r="R8" s="833"/>
      <c r="S8" s="869">
        <v>2</v>
      </c>
      <c r="T8" s="831">
        <v>4.53</v>
      </c>
      <c r="U8" s="831">
        <v>797</v>
      </c>
      <c r="V8" s="831">
        <v>686</v>
      </c>
      <c r="W8" s="831">
        <v>176</v>
      </c>
      <c r="AA8" s="130" t="s">
        <v>101</v>
      </c>
    </row>
    <row r="9" spans="1:27">
      <c r="A9" s="840">
        <v>4</v>
      </c>
      <c r="B9" s="841" t="s">
        <v>1334</v>
      </c>
      <c r="C9" s="842">
        <v>7</v>
      </c>
      <c r="D9" s="842">
        <v>7</v>
      </c>
      <c r="E9" s="843">
        <v>8</v>
      </c>
      <c r="F9" s="831">
        <v>588</v>
      </c>
      <c r="G9" s="831">
        <v>588</v>
      </c>
      <c r="H9" s="831">
        <v>353</v>
      </c>
      <c r="I9" s="844">
        <v>30</v>
      </c>
      <c r="J9" s="844">
        <v>30</v>
      </c>
      <c r="K9" s="844">
        <v>10.7</v>
      </c>
      <c r="L9" s="831">
        <v>120</v>
      </c>
      <c r="M9" s="831">
        <v>0.26</v>
      </c>
      <c r="N9" s="831"/>
      <c r="O9" s="832">
        <v>3</v>
      </c>
      <c r="P9" s="831" t="s">
        <v>1817</v>
      </c>
      <c r="Q9" s="832" t="s">
        <v>1679</v>
      </c>
      <c r="R9" s="833"/>
      <c r="S9" s="869">
        <v>3</v>
      </c>
      <c r="T9" s="831">
        <v>3.77</v>
      </c>
      <c r="U9" s="831">
        <v>1448</v>
      </c>
      <c r="V9" s="831">
        <v>1176</v>
      </c>
      <c r="W9" s="831">
        <v>384</v>
      </c>
    </row>
    <row r="10" spans="1:27">
      <c r="A10" s="840">
        <v>5</v>
      </c>
      <c r="B10" s="841" t="s">
        <v>885</v>
      </c>
      <c r="C10" s="842">
        <v>7</v>
      </c>
      <c r="D10" s="842">
        <v>7</v>
      </c>
      <c r="E10" s="843">
        <v>9</v>
      </c>
      <c r="F10" s="831">
        <v>588</v>
      </c>
      <c r="G10" s="831">
        <v>588</v>
      </c>
      <c r="H10" s="831">
        <v>490</v>
      </c>
      <c r="I10" s="844">
        <v>30</v>
      </c>
      <c r="J10" s="844">
        <v>30</v>
      </c>
      <c r="K10" s="844">
        <v>20.8</v>
      </c>
      <c r="L10" s="831">
        <v>120</v>
      </c>
      <c r="M10" s="831">
        <v>0.26</v>
      </c>
      <c r="N10" s="831"/>
      <c r="O10" s="832">
        <v>3</v>
      </c>
      <c r="P10" s="831" t="s">
        <v>1817</v>
      </c>
      <c r="Q10" s="832" t="s">
        <v>97</v>
      </c>
      <c r="R10" s="833"/>
      <c r="S10" s="869">
        <v>4</v>
      </c>
      <c r="T10" s="831">
        <v>6.56</v>
      </c>
      <c r="U10" s="831">
        <v>847</v>
      </c>
      <c r="V10" s="831">
        <v>686</v>
      </c>
      <c r="W10" s="831">
        <v>129</v>
      </c>
      <c r="AA10" s="104" t="s">
        <v>3629</v>
      </c>
    </row>
    <row r="11" spans="1:27">
      <c r="A11" s="840">
        <v>6</v>
      </c>
      <c r="B11" s="841" t="s">
        <v>2016</v>
      </c>
      <c r="C11" s="842">
        <v>7</v>
      </c>
      <c r="D11" s="842">
        <v>7</v>
      </c>
      <c r="E11" s="843">
        <v>8</v>
      </c>
      <c r="F11" s="831">
        <v>588</v>
      </c>
      <c r="G11" s="831">
        <v>588</v>
      </c>
      <c r="H11" s="831">
        <v>353</v>
      </c>
      <c r="I11" s="844">
        <v>30</v>
      </c>
      <c r="J11" s="844">
        <v>30</v>
      </c>
      <c r="K11" s="844">
        <v>10.7</v>
      </c>
      <c r="L11" s="831">
        <v>120</v>
      </c>
      <c r="M11" s="831">
        <v>0.215</v>
      </c>
      <c r="N11" s="831"/>
      <c r="O11" s="832">
        <v>2</v>
      </c>
      <c r="P11" s="831" t="s">
        <v>3429</v>
      </c>
      <c r="Q11" s="832" t="s">
        <v>1679</v>
      </c>
      <c r="R11" s="845">
        <v>0.2</v>
      </c>
      <c r="S11" s="869">
        <v>5</v>
      </c>
      <c r="T11" s="831">
        <v>4.67</v>
      </c>
      <c r="U11" s="831">
        <v>1112</v>
      </c>
      <c r="V11" s="831">
        <v>882</v>
      </c>
      <c r="W11" s="831">
        <v>238</v>
      </c>
      <c r="Y11" s="131"/>
    </row>
    <row r="12" spans="1:27">
      <c r="A12" s="840">
        <v>7</v>
      </c>
      <c r="B12" s="841" t="s">
        <v>3472</v>
      </c>
      <c r="C12" s="842">
        <v>7</v>
      </c>
      <c r="D12" s="842">
        <v>7</v>
      </c>
      <c r="E12" s="843">
        <v>9</v>
      </c>
      <c r="F12" s="831">
        <v>588</v>
      </c>
      <c r="G12" s="831">
        <v>588</v>
      </c>
      <c r="H12" s="831">
        <v>490</v>
      </c>
      <c r="I12" s="844">
        <v>30</v>
      </c>
      <c r="J12" s="844">
        <v>30</v>
      </c>
      <c r="K12" s="844">
        <v>20.8</v>
      </c>
      <c r="L12" s="831">
        <v>120</v>
      </c>
      <c r="M12" s="831">
        <v>0.215</v>
      </c>
      <c r="N12" s="831"/>
      <c r="O12" s="832">
        <v>2</v>
      </c>
      <c r="P12" s="831" t="s">
        <v>3429</v>
      </c>
      <c r="Q12" s="832" t="s">
        <v>97</v>
      </c>
      <c r="R12" s="845">
        <v>0.2</v>
      </c>
      <c r="S12" s="869">
        <v>6</v>
      </c>
      <c r="T12" s="831">
        <v>7.35</v>
      </c>
      <c r="U12" s="831">
        <v>643</v>
      </c>
      <c r="V12" s="831">
        <v>490</v>
      </c>
      <c r="W12" s="831">
        <v>88</v>
      </c>
      <c r="Y12" s="131"/>
      <c r="AA12" s="104" t="s">
        <v>3630</v>
      </c>
    </row>
    <row r="13" spans="1:27">
      <c r="A13" s="840">
        <v>8</v>
      </c>
      <c r="B13" s="841" t="s">
        <v>1667</v>
      </c>
      <c r="C13" s="842">
        <v>7</v>
      </c>
      <c r="D13" s="842">
        <v>7</v>
      </c>
      <c r="E13" s="843">
        <v>8</v>
      </c>
      <c r="F13" s="831">
        <v>588</v>
      </c>
      <c r="G13" s="831">
        <v>588</v>
      </c>
      <c r="H13" s="831">
        <v>353</v>
      </c>
      <c r="I13" s="844">
        <v>30</v>
      </c>
      <c r="J13" s="844">
        <v>30</v>
      </c>
      <c r="K13" s="844">
        <v>10.8</v>
      </c>
      <c r="L13" s="831">
        <v>120</v>
      </c>
      <c r="M13" s="831">
        <v>0.26</v>
      </c>
      <c r="N13" s="831"/>
      <c r="O13" s="832">
        <v>3</v>
      </c>
      <c r="P13" s="831" t="s">
        <v>98</v>
      </c>
      <c r="Q13" s="832" t="s">
        <v>1679</v>
      </c>
      <c r="R13" s="833"/>
      <c r="S13" s="869">
        <v>7</v>
      </c>
      <c r="T13" s="831">
        <v>5.24</v>
      </c>
      <c r="U13" s="831">
        <v>745</v>
      </c>
      <c r="V13" s="831">
        <v>588</v>
      </c>
      <c r="W13" s="831">
        <v>142</v>
      </c>
      <c r="Y13" s="131"/>
      <c r="AA13" s="91" t="s">
        <v>3439</v>
      </c>
    </row>
    <row r="14" spans="1:27">
      <c r="A14" s="840">
        <v>9</v>
      </c>
      <c r="B14" s="841" t="s">
        <v>3652</v>
      </c>
      <c r="C14" s="842">
        <v>7</v>
      </c>
      <c r="D14" s="842">
        <v>7</v>
      </c>
      <c r="E14" s="843">
        <v>9</v>
      </c>
      <c r="F14" s="831">
        <v>588</v>
      </c>
      <c r="G14" s="831">
        <v>588</v>
      </c>
      <c r="H14" s="831">
        <v>490</v>
      </c>
      <c r="I14" s="844">
        <v>30</v>
      </c>
      <c r="J14" s="844">
        <v>30</v>
      </c>
      <c r="K14" s="844">
        <v>20.8</v>
      </c>
      <c r="L14" s="831">
        <v>120</v>
      </c>
      <c r="M14" s="831">
        <v>0.26</v>
      </c>
      <c r="N14" s="831"/>
      <c r="O14" s="832">
        <v>3</v>
      </c>
      <c r="P14" s="831" t="s">
        <v>98</v>
      </c>
      <c r="Q14" s="832" t="s">
        <v>97</v>
      </c>
      <c r="R14" s="833"/>
      <c r="S14" s="869">
        <v>8</v>
      </c>
      <c r="T14" s="831">
        <v>7.85</v>
      </c>
      <c r="U14" s="831">
        <v>437</v>
      </c>
      <c r="V14" s="831">
        <v>353</v>
      </c>
      <c r="W14" s="831">
        <v>56</v>
      </c>
      <c r="Y14" s="131"/>
      <c r="AA14" s="104" t="s">
        <v>3440</v>
      </c>
    </row>
    <row r="15" spans="1:27">
      <c r="A15" s="840">
        <v>10</v>
      </c>
      <c r="B15" s="841" t="s">
        <v>3653</v>
      </c>
      <c r="C15" s="842">
        <v>10</v>
      </c>
      <c r="D15" s="842">
        <v>10</v>
      </c>
      <c r="E15" s="843">
        <v>9</v>
      </c>
      <c r="F15" s="831">
        <v>784</v>
      </c>
      <c r="G15" s="831">
        <v>784</v>
      </c>
      <c r="H15" s="831">
        <v>490</v>
      </c>
      <c r="I15" s="844">
        <v>42.7</v>
      </c>
      <c r="J15" s="844">
        <v>42.7</v>
      </c>
      <c r="K15" s="844">
        <v>20.8</v>
      </c>
      <c r="L15" s="831">
        <v>150</v>
      </c>
      <c r="M15" s="831">
        <v>0.26</v>
      </c>
      <c r="N15" s="831"/>
      <c r="O15" s="832">
        <v>3</v>
      </c>
      <c r="P15" s="831" t="s">
        <v>3653</v>
      </c>
      <c r="Q15" s="832"/>
      <c r="R15" s="833"/>
      <c r="S15" s="869">
        <v>9</v>
      </c>
      <c r="T15" s="831">
        <v>5.24</v>
      </c>
      <c r="U15" s="831">
        <v>599</v>
      </c>
      <c r="V15" s="831">
        <v>490</v>
      </c>
      <c r="W15" s="831">
        <v>114</v>
      </c>
      <c r="Y15" s="131"/>
      <c r="AA15" s="91" t="s">
        <v>741</v>
      </c>
    </row>
    <row r="16" spans="1:27">
      <c r="A16" s="840">
        <v>11</v>
      </c>
      <c r="B16" s="841" t="s">
        <v>3654</v>
      </c>
      <c r="C16" s="842">
        <v>11</v>
      </c>
      <c r="D16" s="843">
        <v>12</v>
      </c>
      <c r="E16" s="843">
        <v>13</v>
      </c>
      <c r="F16" s="831">
        <v>686</v>
      </c>
      <c r="G16" s="831">
        <v>686</v>
      </c>
      <c r="H16" s="831">
        <v>372</v>
      </c>
      <c r="I16" s="844">
        <v>40.799999999999997</v>
      </c>
      <c r="J16" s="844">
        <v>40.799999999999997</v>
      </c>
      <c r="K16" s="844">
        <v>12</v>
      </c>
      <c r="L16" s="831">
        <v>120</v>
      </c>
      <c r="M16" s="831">
        <v>0.25</v>
      </c>
      <c r="N16" s="831"/>
      <c r="O16" s="832">
        <v>5</v>
      </c>
      <c r="P16" s="831" t="s">
        <v>250</v>
      </c>
      <c r="Q16" s="832" t="s">
        <v>1679</v>
      </c>
      <c r="R16" s="833"/>
      <c r="S16" s="869">
        <v>10</v>
      </c>
      <c r="T16" s="831">
        <v>2.62</v>
      </c>
      <c r="U16" s="831">
        <v>896</v>
      </c>
      <c r="V16" s="831">
        <v>784</v>
      </c>
      <c r="W16" s="831">
        <v>321</v>
      </c>
      <c r="AA16" s="104" t="s">
        <v>742</v>
      </c>
    </row>
    <row r="17" spans="1:32">
      <c r="A17" s="840">
        <v>12</v>
      </c>
      <c r="B17" s="841" t="s">
        <v>1769</v>
      </c>
      <c r="C17" s="842">
        <v>11</v>
      </c>
      <c r="D17" s="843">
        <v>12</v>
      </c>
      <c r="E17" s="843">
        <v>14</v>
      </c>
      <c r="F17" s="831">
        <v>686</v>
      </c>
      <c r="G17" s="831">
        <v>686</v>
      </c>
      <c r="H17" s="831">
        <v>490</v>
      </c>
      <c r="I17" s="844">
        <v>40.799999999999997</v>
      </c>
      <c r="J17" s="844">
        <v>40.799999999999997</v>
      </c>
      <c r="K17" s="844">
        <v>20.8</v>
      </c>
      <c r="L17" s="831">
        <v>120</v>
      </c>
      <c r="M17" s="831">
        <v>0.25</v>
      </c>
      <c r="N17" s="831"/>
      <c r="O17" s="832">
        <v>5</v>
      </c>
      <c r="P17" s="831" t="s">
        <v>250</v>
      </c>
      <c r="Q17" s="832" t="s">
        <v>1634</v>
      </c>
      <c r="R17" s="833"/>
      <c r="S17" s="869">
        <v>11</v>
      </c>
      <c r="T17" s="831">
        <v>6.98</v>
      </c>
      <c r="U17" s="831">
        <v>971</v>
      </c>
      <c r="V17" s="831">
        <v>686</v>
      </c>
      <c r="W17" s="831">
        <v>139</v>
      </c>
      <c r="AA17" s="91" t="s">
        <v>462</v>
      </c>
    </row>
    <row r="18" spans="1:32">
      <c r="A18" s="840">
        <v>13</v>
      </c>
      <c r="B18" s="841" t="s">
        <v>1770</v>
      </c>
      <c r="C18" s="842">
        <v>11</v>
      </c>
      <c r="D18" s="843">
        <v>12</v>
      </c>
      <c r="E18" s="843">
        <v>13</v>
      </c>
      <c r="F18" s="831">
        <v>686</v>
      </c>
      <c r="G18" s="831">
        <v>686</v>
      </c>
      <c r="H18" s="831">
        <v>372</v>
      </c>
      <c r="I18" s="844">
        <v>40.799999999999997</v>
      </c>
      <c r="J18" s="844">
        <v>40.799999999999997</v>
      </c>
      <c r="K18" s="844">
        <v>12</v>
      </c>
      <c r="L18" s="831">
        <v>75</v>
      </c>
      <c r="M18" s="831">
        <v>0.25</v>
      </c>
      <c r="N18" s="831"/>
      <c r="O18" s="832">
        <v>5</v>
      </c>
      <c r="P18" s="831" t="s">
        <v>250</v>
      </c>
      <c r="Q18" s="832" t="s">
        <v>251</v>
      </c>
      <c r="R18" s="833"/>
      <c r="S18" s="869">
        <v>12</v>
      </c>
      <c r="T18" s="831">
        <v>5.67</v>
      </c>
      <c r="U18" s="831">
        <v>917</v>
      </c>
      <c r="V18" s="831">
        <v>686</v>
      </c>
      <c r="W18" s="831">
        <v>134</v>
      </c>
    </row>
    <row r="19" spans="1:32">
      <c r="A19" s="840">
        <v>14</v>
      </c>
      <c r="B19" s="841" t="s">
        <v>1771</v>
      </c>
      <c r="C19" s="842">
        <v>15</v>
      </c>
      <c r="D19" s="843">
        <v>15</v>
      </c>
      <c r="E19" s="843">
        <v>14</v>
      </c>
      <c r="F19" s="831">
        <v>843</v>
      </c>
      <c r="G19" s="831">
        <v>843</v>
      </c>
      <c r="H19" s="831">
        <v>490</v>
      </c>
      <c r="I19" s="844">
        <v>49.3</v>
      </c>
      <c r="J19" s="844">
        <v>49.3</v>
      </c>
      <c r="K19" s="844">
        <v>20.8</v>
      </c>
      <c r="L19" s="831">
        <v>150</v>
      </c>
      <c r="M19" s="831">
        <v>0.25</v>
      </c>
      <c r="N19" s="831"/>
      <c r="O19" s="832">
        <v>5</v>
      </c>
      <c r="P19" s="831" t="s">
        <v>1771</v>
      </c>
      <c r="Q19" s="832"/>
      <c r="R19" s="833"/>
      <c r="S19" s="869">
        <v>13</v>
      </c>
      <c r="T19" s="831">
        <v>9.6</v>
      </c>
      <c r="U19" s="831">
        <v>487</v>
      </c>
      <c r="V19" s="831">
        <v>372</v>
      </c>
      <c r="W19" s="831">
        <v>51</v>
      </c>
    </row>
    <row r="20" spans="1:32">
      <c r="A20" s="840">
        <v>15</v>
      </c>
      <c r="B20" s="841" t="s">
        <v>1772</v>
      </c>
      <c r="C20" s="842">
        <v>16</v>
      </c>
      <c r="D20" s="843">
        <v>17</v>
      </c>
      <c r="E20" s="843">
        <v>18</v>
      </c>
      <c r="F20" s="831">
        <v>588</v>
      </c>
      <c r="G20" s="831">
        <v>588</v>
      </c>
      <c r="H20" s="831">
        <v>294</v>
      </c>
      <c r="I20" s="844">
        <v>30</v>
      </c>
      <c r="J20" s="844">
        <v>30</v>
      </c>
      <c r="K20" s="844">
        <v>7.5</v>
      </c>
      <c r="L20" s="831">
        <v>120</v>
      </c>
      <c r="M20" s="831">
        <v>0.2</v>
      </c>
      <c r="N20" s="831"/>
      <c r="O20" s="832">
        <v>5</v>
      </c>
      <c r="P20" s="831" t="s">
        <v>1772</v>
      </c>
      <c r="Q20" s="832"/>
      <c r="R20" s="833"/>
      <c r="S20" s="869">
        <v>14</v>
      </c>
      <c r="T20" s="831">
        <v>6.11</v>
      </c>
      <c r="U20" s="831">
        <v>617</v>
      </c>
      <c r="V20" s="831">
        <v>490</v>
      </c>
      <c r="W20" s="831">
        <v>101</v>
      </c>
      <c r="Z20" s="91" t="s">
        <v>3346</v>
      </c>
      <c r="AA20" s="130" t="s">
        <v>3599</v>
      </c>
      <c r="AD20" s="131"/>
      <c r="AE20" s="131"/>
      <c r="AF20" s="131"/>
    </row>
    <row r="21" spans="1:32">
      <c r="A21" s="840">
        <v>16</v>
      </c>
      <c r="B21" s="841" t="s">
        <v>771</v>
      </c>
      <c r="C21" s="842">
        <v>235</v>
      </c>
      <c r="D21" s="843">
        <v>236</v>
      </c>
      <c r="E21" s="843">
        <v>237</v>
      </c>
      <c r="F21" s="831">
        <v>529</v>
      </c>
      <c r="G21" s="831">
        <v>529</v>
      </c>
      <c r="H21" s="831">
        <v>274</v>
      </c>
      <c r="I21" s="844">
        <v>36.799999999999997</v>
      </c>
      <c r="J21" s="844">
        <v>36.799999999999997</v>
      </c>
      <c r="K21" s="844">
        <v>9.8000000000000007</v>
      </c>
      <c r="L21" s="831">
        <v>80</v>
      </c>
      <c r="M21" s="831">
        <v>0.2</v>
      </c>
      <c r="N21" s="831"/>
      <c r="O21" s="832">
        <v>5</v>
      </c>
      <c r="P21" s="831" t="s">
        <v>771</v>
      </c>
      <c r="Q21" s="832"/>
      <c r="R21" s="833"/>
      <c r="S21" s="869">
        <v>15</v>
      </c>
      <c r="T21" s="831">
        <v>4.3600000000000003</v>
      </c>
      <c r="U21" s="831">
        <v>1058</v>
      </c>
      <c r="V21" s="831">
        <v>843</v>
      </c>
      <c r="W21" s="831">
        <v>180</v>
      </c>
      <c r="AA21" s="130" t="s">
        <v>101</v>
      </c>
      <c r="AD21" s="131"/>
      <c r="AE21" s="131"/>
      <c r="AF21" s="131"/>
    </row>
    <row r="22" spans="1:32">
      <c r="A22" s="840">
        <v>17</v>
      </c>
      <c r="B22" s="841" t="s">
        <v>2319</v>
      </c>
      <c r="C22" s="842">
        <v>238</v>
      </c>
      <c r="D22" s="843">
        <v>239</v>
      </c>
      <c r="E22" s="843">
        <v>240</v>
      </c>
      <c r="F22" s="831">
        <v>519</v>
      </c>
      <c r="G22" s="831">
        <v>519</v>
      </c>
      <c r="H22" s="831">
        <v>264</v>
      </c>
      <c r="I22" s="844">
        <v>37.9</v>
      </c>
      <c r="J22" s="844">
        <v>37.9</v>
      </c>
      <c r="K22" s="844">
        <v>10.1</v>
      </c>
      <c r="L22" s="831">
        <v>75</v>
      </c>
      <c r="M22" s="831">
        <v>0.2</v>
      </c>
      <c r="N22" s="831"/>
      <c r="O22" s="832">
        <v>5</v>
      </c>
      <c r="P22" s="831" t="s">
        <v>2319</v>
      </c>
      <c r="Q22" s="832"/>
      <c r="R22" s="833"/>
      <c r="S22" s="869">
        <v>16</v>
      </c>
      <c r="T22" s="831">
        <v>8.14</v>
      </c>
      <c r="U22" s="831">
        <v>832</v>
      </c>
      <c r="V22" s="831">
        <v>588</v>
      </c>
      <c r="W22" s="831">
        <v>77</v>
      </c>
    </row>
    <row r="23" spans="1:32">
      <c r="A23" s="840">
        <v>18</v>
      </c>
      <c r="B23" s="841" t="s">
        <v>245</v>
      </c>
      <c r="C23" s="842">
        <v>241</v>
      </c>
      <c r="D23" s="843">
        <v>242</v>
      </c>
      <c r="E23" s="843">
        <v>243</v>
      </c>
      <c r="F23" s="831">
        <v>558</v>
      </c>
      <c r="G23" s="831">
        <v>558</v>
      </c>
      <c r="H23" s="831">
        <v>284</v>
      </c>
      <c r="I23" s="844">
        <v>33</v>
      </c>
      <c r="J23" s="844">
        <v>33</v>
      </c>
      <c r="K23" s="844">
        <v>8.4</v>
      </c>
      <c r="L23" s="831">
        <v>100</v>
      </c>
      <c r="M23" s="831">
        <v>0.2</v>
      </c>
      <c r="N23" s="831"/>
      <c r="O23" s="832">
        <v>5</v>
      </c>
      <c r="P23" s="831" t="s">
        <v>245</v>
      </c>
      <c r="Q23" s="832"/>
      <c r="R23" s="833"/>
      <c r="S23" s="869">
        <v>17</v>
      </c>
      <c r="T23" s="831">
        <v>5.82</v>
      </c>
      <c r="U23" s="831">
        <v>763</v>
      </c>
      <c r="V23" s="831">
        <v>588</v>
      </c>
      <c r="W23" s="831">
        <v>99</v>
      </c>
    </row>
    <row r="24" spans="1:32">
      <c r="A24" s="840">
        <v>19</v>
      </c>
      <c r="B24" s="841" t="s">
        <v>246</v>
      </c>
      <c r="C24" s="842">
        <v>19</v>
      </c>
      <c r="D24" s="843">
        <v>20</v>
      </c>
      <c r="E24" s="843">
        <v>21</v>
      </c>
      <c r="F24" s="831">
        <v>842</v>
      </c>
      <c r="G24" s="831">
        <v>842</v>
      </c>
      <c r="H24" s="831">
        <v>490</v>
      </c>
      <c r="I24" s="844">
        <v>47.6</v>
      </c>
      <c r="J24" s="844">
        <v>47.6</v>
      </c>
      <c r="K24" s="844">
        <v>16.100000000000001</v>
      </c>
      <c r="L24" s="831">
        <v>155</v>
      </c>
      <c r="M24" s="831">
        <v>0.2</v>
      </c>
      <c r="N24" s="831"/>
      <c r="O24" s="832">
        <v>5</v>
      </c>
      <c r="P24" s="831" t="s">
        <v>246</v>
      </c>
      <c r="Q24" s="832"/>
      <c r="R24" s="833"/>
      <c r="S24" s="869">
        <v>18</v>
      </c>
      <c r="T24" s="831">
        <v>8.14</v>
      </c>
      <c r="U24" s="831">
        <v>355</v>
      </c>
      <c r="V24" s="831">
        <v>294</v>
      </c>
      <c r="W24" s="831">
        <v>33</v>
      </c>
    </row>
    <row r="25" spans="1:32">
      <c r="A25" s="840">
        <v>20</v>
      </c>
      <c r="B25" s="841" t="s">
        <v>1824</v>
      </c>
      <c r="C25" s="842">
        <v>22</v>
      </c>
      <c r="D25" s="843">
        <v>22</v>
      </c>
      <c r="E25" s="843">
        <v>23</v>
      </c>
      <c r="F25" s="831">
        <v>176</v>
      </c>
      <c r="G25" s="831">
        <v>176</v>
      </c>
      <c r="H25" s="831">
        <v>98</v>
      </c>
      <c r="I25" s="844">
        <v>10.8</v>
      </c>
      <c r="J25" s="844">
        <v>10.8</v>
      </c>
      <c r="K25" s="844">
        <v>3.3</v>
      </c>
      <c r="L25" s="831">
        <v>45</v>
      </c>
      <c r="M25" s="831">
        <v>0.17</v>
      </c>
      <c r="N25" s="831"/>
      <c r="O25" s="832">
        <v>2</v>
      </c>
      <c r="P25" s="831" t="s">
        <v>1824</v>
      </c>
      <c r="Q25" s="832"/>
      <c r="R25" s="845">
        <v>0.16</v>
      </c>
      <c r="S25" s="869">
        <v>19</v>
      </c>
      <c r="T25" s="831">
        <v>5.45</v>
      </c>
      <c r="U25" s="831">
        <v>1105</v>
      </c>
      <c r="V25" s="831">
        <v>842</v>
      </c>
      <c r="W25" s="831">
        <v>152</v>
      </c>
    </row>
    <row r="26" spans="1:32">
      <c r="A26" s="840">
        <v>21</v>
      </c>
      <c r="B26" s="841" t="s">
        <v>3676</v>
      </c>
      <c r="C26" s="842">
        <v>24</v>
      </c>
      <c r="D26" s="843">
        <v>24</v>
      </c>
      <c r="E26" s="843">
        <v>25</v>
      </c>
      <c r="F26" s="831">
        <v>294</v>
      </c>
      <c r="G26" s="831">
        <v>294</v>
      </c>
      <c r="H26" s="831">
        <v>147</v>
      </c>
      <c r="I26" s="844">
        <v>12.9</v>
      </c>
      <c r="J26" s="844">
        <v>12.9</v>
      </c>
      <c r="K26" s="844">
        <v>3.2</v>
      </c>
      <c r="L26" s="831">
        <v>70</v>
      </c>
      <c r="M26" s="831">
        <v>0.17499999999999999</v>
      </c>
      <c r="N26" s="831"/>
      <c r="O26" s="832">
        <v>1</v>
      </c>
      <c r="P26" s="831" t="s">
        <v>3676</v>
      </c>
      <c r="Q26" s="832"/>
      <c r="R26" s="833"/>
      <c r="S26" s="869">
        <v>20</v>
      </c>
      <c r="T26" s="831">
        <v>4.26</v>
      </c>
      <c r="U26" s="831">
        <v>1046</v>
      </c>
      <c r="V26" s="831">
        <v>842</v>
      </c>
      <c r="W26" s="831">
        <v>184</v>
      </c>
    </row>
    <row r="27" spans="1:32">
      <c r="A27" s="840">
        <v>26</v>
      </c>
      <c r="B27" s="841" t="s">
        <v>1561</v>
      </c>
      <c r="C27" s="842">
        <v>38</v>
      </c>
      <c r="D27" s="843">
        <v>39</v>
      </c>
      <c r="E27" s="843">
        <v>40</v>
      </c>
      <c r="F27" s="831">
        <v>686</v>
      </c>
      <c r="G27" s="831">
        <v>686</v>
      </c>
      <c r="H27" s="831">
        <v>343</v>
      </c>
      <c r="I27" s="844">
        <v>40.9</v>
      </c>
      <c r="J27" s="844">
        <v>40.9</v>
      </c>
      <c r="K27" s="844">
        <v>10.199999999999999</v>
      </c>
      <c r="L27" s="831">
        <v>130</v>
      </c>
      <c r="M27" s="831">
        <v>0.24</v>
      </c>
      <c r="N27" s="831">
        <v>0.25</v>
      </c>
      <c r="O27" s="832">
        <v>1</v>
      </c>
      <c r="P27" s="831" t="s">
        <v>1561</v>
      </c>
      <c r="Q27" s="832"/>
      <c r="R27" s="833"/>
      <c r="S27" s="869">
        <v>21</v>
      </c>
      <c r="T27" s="831">
        <v>5.45</v>
      </c>
      <c r="U27" s="831">
        <v>580</v>
      </c>
      <c r="V27" s="831">
        <v>490</v>
      </c>
      <c r="W27" s="831">
        <v>80</v>
      </c>
    </row>
    <row r="28" spans="1:32">
      <c r="A28" s="840">
        <v>27</v>
      </c>
      <c r="B28" s="841" t="s">
        <v>3851</v>
      </c>
      <c r="C28" s="842">
        <v>41</v>
      </c>
      <c r="D28" s="843">
        <v>42</v>
      </c>
      <c r="E28" s="843">
        <v>43</v>
      </c>
      <c r="F28" s="831">
        <v>911</v>
      </c>
      <c r="G28" s="831">
        <v>911</v>
      </c>
      <c r="H28" s="831">
        <v>451</v>
      </c>
      <c r="I28" s="844">
        <v>88.2</v>
      </c>
      <c r="J28" s="844">
        <v>88.2</v>
      </c>
      <c r="K28" s="844">
        <v>44.1</v>
      </c>
      <c r="L28" s="831">
        <v>165</v>
      </c>
      <c r="M28" s="831">
        <v>0.24</v>
      </c>
      <c r="N28" s="831">
        <v>0.25</v>
      </c>
      <c r="O28" s="832">
        <v>1</v>
      </c>
      <c r="P28" s="831" t="s">
        <v>3851</v>
      </c>
      <c r="Q28" s="832"/>
      <c r="R28" s="833"/>
      <c r="S28" s="869">
        <v>22</v>
      </c>
      <c r="T28" s="831">
        <v>16.75</v>
      </c>
      <c r="U28" s="831">
        <v>357</v>
      </c>
      <c r="V28" s="831">
        <v>176</v>
      </c>
      <c r="W28" s="831">
        <v>13.8</v>
      </c>
    </row>
    <row r="29" spans="1:32">
      <c r="A29" s="840">
        <v>28</v>
      </c>
      <c r="B29" s="841" t="s">
        <v>3078</v>
      </c>
      <c r="C29" s="842">
        <v>44</v>
      </c>
      <c r="D29" s="843">
        <v>45</v>
      </c>
      <c r="E29" s="843">
        <v>46</v>
      </c>
      <c r="F29" s="831">
        <v>1274</v>
      </c>
      <c r="G29" s="831">
        <v>1274</v>
      </c>
      <c r="H29" s="831">
        <v>686</v>
      </c>
      <c r="I29" s="844">
        <v>117.6</v>
      </c>
      <c r="J29" s="844">
        <v>117.6</v>
      </c>
      <c r="K29" s="844">
        <v>58.8</v>
      </c>
      <c r="L29" s="831">
        <v>200</v>
      </c>
      <c r="M29" s="831">
        <v>0.26</v>
      </c>
      <c r="N29" s="831">
        <v>0.27500000000000002</v>
      </c>
      <c r="O29" s="832">
        <v>1</v>
      </c>
      <c r="P29" s="831" t="s">
        <v>3078</v>
      </c>
      <c r="Q29" s="832"/>
      <c r="R29" s="833"/>
      <c r="S29" s="869">
        <v>23</v>
      </c>
      <c r="T29" s="831">
        <v>23.7</v>
      </c>
      <c r="U29" s="831">
        <v>177</v>
      </c>
      <c r="V29" s="831">
        <v>98</v>
      </c>
      <c r="W29" s="831">
        <v>5.87</v>
      </c>
    </row>
    <row r="30" spans="1:32">
      <c r="A30" s="840">
        <v>29</v>
      </c>
      <c r="B30" s="841" t="s">
        <v>1674</v>
      </c>
      <c r="C30" s="842">
        <v>38</v>
      </c>
      <c r="D30" s="843">
        <v>39</v>
      </c>
      <c r="E30" s="843">
        <v>40</v>
      </c>
      <c r="F30" s="831">
        <v>686</v>
      </c>
      <c r="G30" s="831">
        <v>686</v>
      </c>
      <c r="H30" s="831">
        <v>343</v>
      </c>
      <c r="I30" s="844">
        <v>40.9</v>
      </c>
      <c r="J30" s="844">
        <v>40.9</v>
      </c>
      <c r="K30" s="844">
        <v>10.199999999999999</v>
      </c>
      <c r="L30" s="831">
        <v>130</v>
      </c>
      <c r="M30" s="831">
        <v>0.24</v>
      </c>
      <c r="N30" s="831">
        <v>0.25</v>
      </c>
      <c r="O30" s="832">
        <v>1</v>
      </c>
      <c r="P30" s="831" t="s">
        <v>1674</v>
      </c>
      <c r="Q30" s="832"/>
      <c r="R30" s="833"/>
      <c r="S30" s="869">
        <v>24</v>
      </c>
      <c r="T30" s="831">
        <v>14</v>
      </c>
      <c r="U30" s="831">
        <v>475</v>
      </c>
      <c r="V30" s="831">
        <v>294</v>
      </c>
      <c r="W30" s="831">
        <v>22.8</v>
      </c>
    </row>
    <row r="31" spans="1:32">
      <c r="A31" s="840">
        <v>30</v>
      </c>
      <c r="B31" s="841" t="s">
        <v>1675</v>
      </c>
      <c r="C31" s="842">
        <v>41</v>
      </c>
      <c r="D31" s="843">
        <v>42</v>
      </c>
      <c r="E31" s="843">
        <v>43</v>
      </c>
      <c r="F31" s="831">
        <v>911</v>
      </c>
      <c r="G31" s="831">
        <v>911</v>
      </c>
      <c r="H31" s="831">
        <v>451</v>
      </c>
      <c r="I31" s="844">
        <v>88.2</v>
      </c>
      <c r="J31" s="844">
        <v>88.2</v>
      </c>
      <c r="K31" s="844">
        <v>44.1</v>
      </c>
      <c r="L31" s="831">
        <v>165</v>
      </c>
      <c r="M31" s="831">
        <v>0.24</v>
      </c>
      <c r="N31" s="831">
        <v>0.25</v>
      </c>
      <c r="O31" s="832">
        <v>1</v>
      </c>
      <c r="P31" s="831" t="s">
        <v>1675</v>
      </c>
      <c r="Q31" s="832"/>
      <c r="R31" s="833"/>
      <c r="S31" s="869">
        <v>25</v>
      </c>
      <c r="T31" s="831">
        <v>14</v>
      </c>
      <c r="U31" s="831">
        <v>192</v>
      </c>
      <c r="V31" s="831">
        <v>147</v>
      </c>
      <c r="W31" s="831">
        <v>11.1</v>
      </c>
    </row>
    <row r="32" spans="1:32">
      <c r="A32" s="840">
        <v>31</v>
      </c>
      <c r="B32" s="841" t="s">
        <v>1676</v>
      </c>
      <c r="C32" s="842">
        <v>47</v>
      </c>
      <c r="D32" s="843">
        <v>48</v>
      </c>
      <c r="E32" s="843">
        <v>49</v>
      </c>
      <c r="F32" s="831">
        <v>588</v>
      </c>
      <c r="G32" s="831">
        <v>588</v>
      </c>
      <c r="H32" s="831">
        <v>343</v>
      </c>
      <c r="I32" s="844">
        <v>58.8</v>
      </c>
      <c r="J32" s="844">
        <v>58.8</v>
      </c>
      <c r="K32" s="844">
        <v>19.600000000000001</v>
      </c>
      <c r="L32" s="831">
        <v>80</v>
      </c>
      <c r="M32" s="831">
        <v>0.24</v>
      </c>
      <c r="N32" s="831">
        <v>0.25</v>
      </c>
      <c r="O32" s="832">
        <v>1</v>
      </c>
      <c r="P32" s="831" t="s">
        <v>1676</v>
      </c>
      <c r="Q32" s="832"/>
      <c r="R32" s="833"/>
      <c r="S32" s="869">
        <v>26</v>
      </c>
      <c r="T32" s="831">
        <v>26.2</v>
      </c>
      <c r="U32" s="831">
        <v>32.1</v>
      </c>
      <c r="V32" s="831">
        <v>15.7</v>
      </c>
      <c r="W32" s="831">
        <v>0.63</v>
      </c>
    </row>
    <row r="33" spans="1:23">
      <c r="A33" s="840">
        <v>32</v>
      </c>
      <c r="B33" s="841" t="s">
        <v>1221</v>
      </c>
      <c r="C33" s="842">
        <v>50</v>
      </c>
      <c r="D33" s="843">
        <v>51</v>
      </c>
      <c r="E33" s="843">
        <v>52</v>
      </c>
      <c r="F33" s="831">
        <v>588</v>
      </c>
      <c r="G33" s="831">
        <v>588</v>
      </c>
      <c r="H33" s="831">
        <v>343</v>
      </c>
      <c r="I33" s="844">
        <v>58.8</v>
      </c>
      <c r="J33" s="844">
        <v>58.8</v>
      </c>
      <c r="K33" s="844">
        <v>22.5</v>
      </c>
      <c r="L33" s="831">
        <v>125</v>
      </c>
      <c r="M33" s="831">
        <v>0.24</v>
      </c>
      <c r="N33" s="831">
        <v>0.25</v>
      </c>
      <c r="O33" s="832">
        <v>1</v>
      </c>
      <c r="P33" s="831" t="s">
        <v>1221</v>
      </c>
      <c r="Q33" s="832"/>
      <c r="R33" s="833"/>
      <c r="S33" s="869">
        <v>27</v>
      </c>
      <c r="T33" s="831">
        <v>26.2</v>
      </c>
      <c r="U33" s="831">
        <v>14.9</v>
      </c>
      <c r="V33" s="831">
        <v>9.8000000000000007</v>
      </c>
      <c r="W33" s="831">
        <v>0.2</v>
      </c>
    </row>
    <row r="34" spans="1:23">
      <c r="A34" s="840">
        <v>33</v>
      </c>
      <c r="B34" s="841" t="s">
        <v>463</v>
      </c>
      <c r="C34" s="842">
        <v>53</v>
      </c>
      <c r="D34" s="843">
        <v>54</v>
      </c>
      <c r="E34" s="843">
        <v>55</v>
      </c>
      <c r="F34" s="831">
        <v>686</v>
      </c>
      <c r="G34" s="831">
        <v>686</v>
      </c>
      <c r="H34" s="831">
        <v>343</v>
      </c>
      <c r="I34" s="844">
        <v>40.9</v>
      </c>
      <c r="J34" s="844">
        <v>40.9</v>
      </c>
      <c r="K34" s="844">
        <v>10.199999999999999</v>
      </c>
      <c r="L34" s="831">
        <v>130</v>
      </c>
      <c r="M34" s="831">
        <v>0.26</v>
      </c>
      <c r="N34" s="831">
        <v>0.27500000000000002</v>
      </c>
      <c r="O34" s="832">
        <v>1</v>
      </c>
      <c r="P34" s="831" t="s">
        <v>463</v>
      </c>
      <c r="Q34" s="832"/>
      <c r="R34" s="833"/>
      <c r="S34" s="869">
        <v>28</v>
      </c>
      <c r="T34" s="831">
        <v>32.700000000000003</v>
      </c>
      <c r="U34" s="831">
        <v>7.87</v>
      </c>
      <c r="V34" s="831">
        <v>5.9</v>
      </c>
      <c r="W34" s="831">
        <v>0.14000000000000001</v>
      </c>
    </row>
    <row r="35" spans="1:23">
      <c r="A35" s="840">
        <v>34</v>
      </c>
      <c r="B35" s="841" t="s">
        <v>3537</v>
      </c>
      <c r="C35" s="842">
        <v>41</v>
      </c>
      <c r="D35" s="843">
        <v>42</v>
      </c>
      <c r="E35" s="843">
        <v>43</v>
      </c>
      <c r="F35" s="831">
        <v>911</v>
      </c>
      <c r="G35" s="831">
        <v>911</v>
      </c>
      <c r="H35" s="831">
        <v>451</v>
      </c>
      <c r="I35" s="844">
        <v>88.2</v>
      </c>
      <c r="J35" s="844">
        <v>88.2</v>
      </c>
      <c r="K35" s="844">
        <v>44.1</v>
      </c>
      <c r="L35" s="831">
        <v>165</v>
      </c>
      <c r="M35" s="831">
        <v>0.24</v>
      </c>
      <c r="N35" s="831">
        <v>0.25</v>
      </c>
      <c r="O35" s="832">
        <v>1</v>
      </c>
      <c r="P35" s="831" t="s">
        <v>3537</v>
      </c>
      <c r="Q35" s="832"/>
      <c r="R35" s="833"/>
      <c r="S35" s="869">
        <v>29</v>
      </c>
      <c r="T35" s="831">
        <v>16</v>
      </c>
      <c r="U35" s="831">
        <v>48.9</v>
      </c>
      <c r="V35" s="831">
        <v>35.299999999999997</v>
      </c>
      <c r="W35" s="831">
        <v>3.06</v>
      </c>
    </row>
    <row r="36" spans="1:23">
      <c r="A36" s="840">
        <v>35</v>
      </c>
      <c r="B36" s="841" t="s">
        <v>785</v>
      </c>
      <c r="C36" s="842">
        <v>41</v>
      </c>
      <c r="D36" s="843">
        <v>42</v>
      </c>
      <c r="E36" s="843">
        <v>43</v>
      </c>
      <c r="F36" s="831">
        <v>911</v>
      </c>
      <c r="G36" s="831">
        <v>911</v>
      </c>
      <c r="H36" s="831">
        <v>451</v>
      </c>
      <c r="I36" s="844">
        <v>88.2</v>
      </c>
      <c r="J36" s="844">
        <v>88.2</v>
      </c>
      <c r="K36" s="844">
        <v>44.1</v>
      </c>
      <c r="L36" s="831">
        <v>165</v>
      </c>
      <c r="M36" s="831">
        <v>0.24</v>
      </c>
      <c r="N36" s="831">
        <v>0.25</v>
      </c>
      <c r="O36" s="832">
        <v>1</v>
      </c>
      <c r="P36" s="831" t="s">
        <v>785</v>
      </c>
      <c r="Q36" s="832"/>
      <c r="R36" s="833"/>
      <c r="S36" s="869">
        <v>30</v>
      </c>
      <c r="T36" s="831">
        <v>16</v>
      </c>
      <c r="U36" s="831">
        <v>42.5</v>
      </c>
      <c r="V36" s="831">
        <v>31.4</v>
      </c>
      <c r="W36" s="831">
        <v>0.7</v>
      </c>
    </row>
    <row r="37" spans="1:23">
      <c r="A37" s="840">
        <v>36</v>
      </c>
      <c r="B37" s="841" t="s">
        <v>786</v>
      </c>
      <c r="C37" s="842">
        <v>56</v>
      </c>
      <c r="D37" s="843">
        <v>57</v>
      </c>
      <c r="E37" s="843">
        <v>58</v>
      </c>
      <c r="F37" s="831">
        <v>1372</v>
      </c>
      <c r="G37" s="831">
        <v>1372</v>
      </c>
      <c r="H37" s="831">
        <v>686</v>
      </c>
      <c r="I37" s="844">
        <v>117.6</v>
      </c>
      <c r="J37" s="844">
        <v>117.6</v>
      </c>
      <c r="K37" s="844">
        <v>58.8</v>
      </c>
      <c r="L37" s="831">
        <v>400</v>
      </c>
      <c r="M37" s="831">
        <v>0.26</v>
      </c>
      <c r="N37" s="831">
        <v>0.27500000000000002</v>
      </c>
      <c r="O37" s="832">
        <v>1</v>
      </c>
      <c r="P37" s="831" t="s">
        <v>786</v>
      </c>
      <c r="Q37" s="832"/>
      <c r="R37" s="833"/>
      <c r="S37" s="869">
        <v>31</v>
      </c>
      <c r="T37" s="831">
        <v>21.8</v>
      </c>
      <c r="U37" s="831">
        <v>20</v>
      </c>
      <c r="V37" s="831">
        <v>15.7</v>
      </c>
      <c r="W37" s="831">
        <v>0.2</v>
      </c>
    </row>
    <row r="38" spans="1:23">
      <c r="A38" s="840">
        <v>37</v>
      </c>
      <c r="B38" s="841" t="s">
        <v>1611</v>
      </c>
      <c r="C38" s="842">
        <v>62</v>
      </c>
      <c r="D38" s="843">
        <v>63</v>
      </c>
      <c r="E38" s="843">
        <v>64</v>
      </c>
      <c r="F38" s="831">
        <v>1274</v>
      </c>
      <c r="G38" s="831">
        <v>1274</v>
      </c>
      <c r="H38" s="831">
        <v>686</v>
      </c>
      <c r="I38" s="844">
        <v>117.6</v>
      </c>
      <c r="J38" s="844">
        <v>117.6</v>
      </c>
      <c r="K38" s="844">
        <v>58.8</v>
      </c>
      <c r="L38" s="831">
        <v>220</v>
      </c>
      <c r="M38" s="831">
        <v>0.26</v>
      </c>
      <c r="N38" s="831">
        <v>0.27500000000000002</v>
      </c>
      <c r="O38" s="832">
        <v>1</v>
      </c>
      <c r="P38" s="831" t="s">
        <v>1611</v>
      </c>
      <c r="Q38" s="832"/>
      <c r="R38" s="833"/>
      <c r="S38" s="869">
        <v>32</v>
      </c>
      <c r="T38" s="831">
        <v>16</v>
      </c>
      <c r="U38" s="831">
        <v>30.5</v>
      </c>
      <c r="V38" s="831">
        <v>21.6</v>
      </c>
      <c r="W38" s="831">
        <v>1.87</v>
      </c>
    </row>
    <row r="39" spans="1:23">
      <c r="A39" s="840">
        <v>38</v>
      </c>
      <c r="B39" s="841" t="s">
        <v>2078</v>
      </c>
      <c r="C39" s="842">
        <v>59</v>
      </c>
      <c r="D39" s="843">
        <v>60</v>
      </c>
      <c r="E39" s="843">
        <v>61</v>
      </c>
      <c r="F39" s="831">
        <v>1176</v>
      </c>
      <c r="G39" s="831">
        <v>1176</v>
      </c>
      <c r="H39" s="831">
        <v>637</v>
      </c>
      <c r="I39" s="844">
        <v>117.6</v>
      </c>
      <c r="J39" s="844">
        <v>117.6</v>
      </c>
      <c r="K39" s="844">
        <v>29.4</v>
      </c>
      <c r="L39" s="831">
        <v>200</v>
      </c>
      <c r="M39" s="831">
        <v>0.26</v>
      </c>
      <c r="N39" s="831">
        <v>0.27500000000000002</v>
      </c>
      <c r="O39" s="832">
        <v>1</v>
      </c>
      <c r="P39" s="831" t="s">
        <v>2078</v>
      </c>
      <c r="Q39" s="832"/>
      <c r="R39" s="833"/>
      <c r="S39" s="869">
        <v>33</v>
      </c>
      <c r="T39" s="831">
        <v>16</v>
      </c>
      <c r="U39" s="831">
        <v>26.3</v>
      </c>
      <c r="V39" s="831">
        <v>19.600000000000001</v>
      </c>
      <c r="W39" s="831">
        <v>0.42</v>
      </c>
    </row>
    <row r="40" spans="1:23">
      <c r="A40" s="840">
        <v>43</v>
      </c>
      <c r="B40" s="841" t="s">
        <v>1411</v>
      </c>
      <c r="C40" s="842">
        <v>72</v>
      </c>
      <c r="D40" s="843">
        <v>73</v>
      </c>
      <c r="E40" s="843">
        <v>74</v>
      </c>
      <c r="F40" s="831">
        <v>882</v>
      </c>
      <c r="G40" s="831">
        <v>882</v>
      </c>
      <c r="H40" s="831">
        <v>510</v>
      </c>
      <c r="I40" s="844">
        <v>46.3</v>
      </c>
      <c r="J40" s="844">
        <v>46.3</v>
      </c>
      <c r="K40" s="844">
        <v>15.5</v>
      </c>
      <c r="L40" s="831">
        <v>175</v>
      </c>
      <c r="M40" s="831">
        <v>0.2</v>
      </c>
      <c r="N40" s="831"/>
      <c r="O40" s="832">
        <v>5</v>
      </c>
      <c r="P40" s="831" t="s">
        <v>1411</v>
      </c>
      <c r="Q40" s="832"/>
      <c r="R40" s="833"/>
      <c r="S40" s="869">
        <v>34</v>
      </c>
      <c r="T40" s="831">
        <v>21.8</v>
      </c>
      <c r="U40" s="831">
        <v>12.4</v>
      </c>
      <c r="V40" s="831">
        <v>9.8000000000000007</v>
      </c>
      <c r="W40" s="831">
        <v>0.12</v>
      </c>
    </row>
    <row r="41" spans="1:23">
      <c r="A41" s="840">
        <v>44</v>
      </c>
      <c r="B41" s="841" t="s">
        <v>2530</v>
      </c>
      <c r="C41" s="842">
        <v>75</v>
      </c>
      <c r="D41" s="843">
        <v>76</v>
      </c>
      <c r="E41" s="843">
        <v>77</v>
      </c>
      <c r="F41" s="846">
        <v>7.25</v>
      </c>
      <c r="G41" s="846">
        <v>7.25</v>
      </c>
      <c r="H41" s="846">
        <v>5.21</v>
      </c>
      <c r="I41" s="847">
        <v>0.13800000000000001</v>
      </c>
      <c r="J41" s="847">
        <v>0.13800000000000001</v>
      </c>
      <c r="K41" s="848">
        <v>7.0999999999999994E-2</v>
      </c>
      <c r="L41" s="849">
        <v>5</v>
      </c>
      <c r="M41" s="831">
        <v>0.08</v>
      </c>
      <c r="N41" s="831"/>
      <c r="O41" s="832">
        <v>3</v>
      </c>
      <c r="P41" s="831" t="s">
        <v>160</v>
      </c>
      <c r="Q41" s="832"/>
      <c r="R41" s="833"/>
      <c r="S41" s="869">
        <v>35</v>
      </c>
      <c r="T41" s="831">
        <v>12.5</v>
      </c>
      <c r="U41" s="831">
        <v>36.799999999999997</v>
      </c>
      <c r="V41" s="831">
        <v>27.4</v>
      </c>
      <c r="W41" s="831">
        <v>2.96</v>
      </c>
    </row>
    <row r="42" spans="1:23">
      <c r="A42" s="840">
        <v>45</v>
      </c>
      <c r="B42" s="841" t="s">
        <v>552</v>
      </c>
      <c r="C42" s="842">
        <v>75</v>
      </c>
      <c r="D42" s="843">
        <v>76</v>
      </c>
      <c r="E42" s="843">
        <v>77</v>
      </c>
      <c r="F42" s="846">
        <v>7.25</v>
      </c>
      <c r="G42" s="846">
        <v>7.25</v>
      </c>
      <c r="H42" s="846">
        <v>5.21</v>
      </c>
      <c r="I42" s="847">
        <v>0.13800000000000001</v>
      </c>
      <c r="J42" s="847">
        <v>0.13800000000000001</v>
      </c>
      <c r="K42" s="848">
        <v>7.0999999999999994E-2</v>
      </c>
      <c r="L42" s="850">
        <v>3</v>
      </c>
      <c r="M42" s="831">
        <v>0.08</v>
      </c>
      <c r="N42" s="831"/>
      <c r="O42" s="832">
        <v>3</v>
      </c>
      <c r="P42" s="831" t="s">
        <v>3128</v>
      </c>
      <c r="Q42" s="832"/>
      <c r="R42" s="833"/>
      <c r="S42" s="869">
        <v>36</v>
      </c>
      <c r="T42" s="831">
        <v>12.5</v>
      </c>
      <c r="U42" s="831">
        <v>25.6</v>
      </c>
      <c r="V42" s="831">
        <v>19.600000000000001</v>
      </c>
      <c r="W42" s="831">
        <v>0.48</v>
      </c>
    </row>
    <row r="43" spans="1:23">
      <c r="A43" s="840">
        <v>46</v>
      </c>
      <c r="B43" s="841" t="s">
        <v>2711</v>
      </c>
      <c r="C43" s="842">
        <v>76</v>
      </c>
      <c r="D43" s="843">
        <v>77</v>
      </c>
      <c r="E43" s="843" t="s">
        <v>493</v>
      </c>
      <c r="F43" s="846">
        <v>7.25</v>
      </c>
      <c r="G43" s="846">
        <v>5.21</v>
      </c>
      <c r="H43" s="851" t="s">
        <v>494</v>
      </c>
      <c r="I43" s="847">
        <v>0.13800000000000001</v>
      </c>
      <c r="J43" s="847">
        <v>7.0999999999999994E-2</v>
      </c>
      <c r="K43" s="852" t="s">
        <v>494</v>
      </c>
      <c r="L43" s="849">
        <v>5</v>
      </c>
      <c r="M43" s="831">
        <v>0.08</v>
      </c>
      <c r="N43" s="831"/>
      <c r="O43" s="832">
        <v>3</v>
      </c>
      <c r="P43" s="831" t="s">
        <v>2711</v>
      </c>
      <c r="Q43" s="832"/>
      <c r="R43" s="833"/>
      <c r="S43" s="869">
        <v>37</v>
      </c>
      <c r="T43" s="831">
        <v>20.8</v>
      </c>
      <c r="U43" s="831">
        <v>13.3</v>
      </c>
      <c r="V43" s="831">
        <v>11.8</v>
      </c>
      <c r="W43" s="831">
        <v>7.6999999999999999E-2</v>
      </c>
    </row>
    <row r="44" spans="1:23">
      <c r="A44" s="840">
        <v>47</v>
      </c>
      <c r="B44" s="841" t="s">
        <v>1822</v>
      </c>
      <c r="C44" s="842">
        <v>22</v>
      </c>
      <c r="D44" s="843">
        <v>22</v>
      </c>
      <c r="E44" s="843">
        <v>23</v>
      </c>
      <c r="F44" s="831">
        <v>176</v>
      </c>
      <c r="G44" s="831">
        <v>176</v>
      </c>
      <c r="H44" s="831">
        <v>98</v>
      </c>
      <c r="I44" s="844">
        <v>10.8</v>
      </c>
      <c r="J44" s="844">
        <v>10.8</v>
      </c>
      <c r="K44" s="844">
        <v>3.3</v>
      </c>
      <c r="L44" s="831">
        <v>45</v>
      </c>
      <c r="M44" s="831">
        <v>0.17499999999999999</v>
      </c>
      <c r="N44" s="831"/>
      <c r="O44" s="832">
        <v>1</v>
      </c>
      <c r="P44" s="831" t="s">
        <v>1822</v>
      </c>
      <c r="Q44" s="832"/>
      <c r="R44" s="845"/>
      <c r="S44" s="869">
        <v>38</v>
      </c>
      <c r="T44" s="831">
        <v>7.05</v>
      </c>
      <c r="U44" s="831">
        <v>974</v>
      </c>
      <c r="V44" s="831">
        <v>686</v>
      </c>
      <c r="W44" s="831">
        <v>102</v>
      </c>
    </row>
    <row r="45" spans="1:23">
      <c r="A45" s="840">
        <v>101</v>
      </c>
      <c r="B45" s="841" t="s">
        <v>1922</v>
      </c>
      <c r="C45" s="842">
        <v>101</v>
      </c>
      <c r="D45" s="843">
        <v>102</v>
      </c>
      <c r="E45" s="843">
        <v>103</v>
      </c>
      <c r="F45" s="831">
        <v>921</v>
      </c>
      <c r="G45" s="831">
        <v>921</v>
      </c>
      <c r="H45" s="831">
        <v>461</v>
      </c>
      <c r="I45" s="848">
        <v>78.400000000000006</v>
      </c>
      <c r="J45" s="848">
        <v>78.400000000000006</v>
      </c>
      <c r="K45" s="848">
        <v>40.200000000000003</v>
      </c>
      <c r="L45" s="831">
        <v>165</v>
      </c>
      <c r="M45" s="831">
        <v>0.215</v>
      </c>
      <c r="N45" s="831">
        <v>0.23799999999999999</v>
      </c>
      <c r="O45" s="832">
        <v>1</v>
      </c>
      <c r="P45" s="831" t="s">
        <v>1922</v>
      </c>
      <c r="Q45" s="832"/>
      <c r="R45" s="833"/>
      <c r="S45" s="869">
        <v>39</v>
      </c>
      <c r="T45" s="831">
        <v>5.03</v>
      </c>
      <c r="U45" s="831">
        <v>892</v>
      </c>
      <c r="V45" s="831">
        <v>686</v>
      </c>
      <c r="W45" s="831">
        <v>104</v>
      </c>
    </row>
    <row r="46" spans="1:23">
      <c r="A46" s="840">
        <v>102</v>
      </c>
      <c r="B46" s="841" t="s">
        <v>548</v>
      </c>
      <c r="C46" s="842">
        <v>104</v>
      </c>
      <c r="D46" s="843">
        <v>105</v>
      </c>
      <c r="E46" s="843">
        <v>106</v>
      </c>
      <c r="F46" s="831">
        <v>1274</v>
      </c>
      <c r="G46" s="831">
        <v>1274</v>
      </c>
      <c r="H46" s="831">
        <v>686</v>
      </c>
      <c r="I46" s="848">
        <v>117.6</v>
      </c>
      <c r="J46" s="848">
        <v>117.6</v>
      </c>
      <c r="K46" s="848">
        <v>58.8</v>
      </c>
      <c r="L46" s="831">
        <v>200</v>
      </c>
      <c r="M46" s="831">
        <v>0.26</v>
      </c>
      <c r="N46" s="831">
        <v>0.27500000000000002</v>
      </c>
      <c r="O46" s="832">
        <v>1</v>
      </c>
      <c r="P46" s="831" t="s">
        <v>548</v>
      </c>
      <c r="Q46" s="832"/>
      <c r="R46" s="833"/>
      <c r="S46" s="869">
        <v>40</v>
      </c>
      <c r="T46" s="831">
        <v>7.05</v>
      </c>
      <c r="U46" s="831">
        <v>415</v>
      </c>
      <c r="V46" s="831">
        <v>343</v>
      </c>
      <c r="W46" s="831">
        <v>35</v>
      </c>
    </row>
    <row r="47" spans="1:23">
      <c r="A47" s="840">
        <v>103</v>
      </c>
      <c r="B47" s="841" t="s">
        <v>3845</v>
      </c>
      <c r="C47" s="842">
        <v>107</v>
      </c>
      <c r="D47" s="843">
        <v>108</v>
      </c>
      <c r="E47" s="843">
        <v>109</v>
      </c>
      <c r="F47" s="831">
        <v>176</v>
      </c>
      <c r="G47" s="831">
        <v>176</v>
      </c>
      <c r="H47" s="831">
        <v>98</v>
      </c>
      <c r="I47" s="848">
        <v>10.8</v>
      </c>
      <c r="J47" s="848">
        <v>10.8</v>
      </c>
      <c r="K47" s="848">
        <v>3.3</v>
      </c>
      <c r="L47" s="831">
        <v>45</v>
      </c>
      <c r="M47" s="831">
        <v>0.17499999999999999</v>
      </c>
      <c r="N47" s="831"/>
      <c r="O47" s="832">
        <v>1</v>
      </c>
      <c r="P47" s="831" t="s">
        <v>3845</v>
      </c>
      <c r="Q47" s="832"/>
      <c r="R47" s="833"/>
      <c r="S47" s="869">
        <v>41</v>
      </c>
      <c r="T47" s="831">
        <v>5.67</v>
      </c>
      <c r="U47" s="831">
        <v>1412</v>
      </c>
      <c r="V47" s="831">
        <v>911</v>
      </c>
      <c r="W47" s="831">
        <v>236</v>
      </c>
    </row>
    <row r="48" spans="1:23">
      <c r="A48" s="840">
        <v>104</v>
      </c>
      <c r="B48" s="841" t="s">
        <v>3846</v>
      </c>
      <c r="C48" s="842">
        <v>110</v>
      </c>
      <c r="D48" s="843">
        <v>111</v>
      </c>
      <c r="E48" s="843">
        <v>112</v>
      </c>
      <c r="F48" s="831">
        <v>176</v>
      </c>
      <c r="G48" s="831">
        <v>176</v>
      </c>
      <c r="H48" s="831">
        <v>98</v>
      </c>
      <c r="I48" s="848">
        <v>10.8</v>
      </c>
      <c r="J48" s="848">
        <v>10.8</v>
      </c>
      <c r="K48" s="848">
        <v>3.3</v>
      </c>
      <c r="L48" s="831">
        <v>45</v>
      </c>
      <c r="M48" s="831">
        <v>0.17</v>
      </c>
      <c r="N48" s="831"/>
      <c r="O48" s="832">
        <v>2</v>
      </c>
      <c r="P48" s="831" t="s">
        <v>3846</v>
      </c>
      <c r="Q48" s="832"/>
      <c r="R48" s="845">
        <v>0.16</v>
      </c>
      <c r="S48" s="869">
        <v>42</v>
      </c>
      <c r="T48" s="831">
        <v>3.91</v>
      </c>
      <c r="U48" s="831">
        <v>1256</v>
      </c>
      <c r="V48" s="831">
        <v>911</v>
      </c>
      <c r="W48" s="831">
        <v>225</v>
      </c>
    </row>
    <row r="49" spans="1:23">
      <c r="A49" s="840">
        <v>105</v>
      </c>
      <c r="B49" s="841" t="s">
        <v>3847</v>
      </c>
      <c r="C49" s="842">
        <v>113</v>
      </c>
      <c r="D49" s="843">
        <v>114</v>
      </c>
      <c r="E49" s="843">
        <v>115</v>
      </c>
      <c r="F49" s="831">
        <v>911</v>
      </c>
      <c r="G49" s="831">
        <v>911</v>
      </c>
      <c r="H49" s="831">
        <v>451</v>
      </c>
      <c r="I49" s="848">
        <v>88.2</v>
      </c>
      <c r="J49" s="848">
        <v>88.2</v>
      </c>
      <c r="K49" s="848">
        <v>44.1</v>
      </c>
      <c r="L49" s="831">
        <v>165</v>
      </c>
      <c r="M49" s="831">
        <v>0.24</v>
      </c>
      <c r="N49" s="831">
        <v>0.25</v>
      </c>
      <c r="O49" s="832">
        <v>1</v>
      </c>
      <c r="P49" s="831" t="s">
        <v>3847</v>
      </c>
      <c r="Q49" s="832"/>
      <c r="R49" s="833"/>
      <c r="S49" s="869">
        <v>43</v>
      </c>
      <c r="T49" s="831">
        <v>4.26</v>
      </c>
      <c r="U49" s="831">
        <v>639</v>
      </c>
      <c r="V49" s="831">
        <v>451</v>
      </c>
      <c r="W49" s="831">
        <v>73</v>
      </c>
    </row>
    <row r="50" spans="1:23">
      <c r="A50" s="840">
        <v>106</v>
      </c>
      <c r="B50" s="841" t="s">
        <v>3848</v>
      </c>
      <c r="C50" s="842">
        <v>116</v>
      </c>
      <c r="D50" s="843">
        <v>117</v>
      </c>
      <c r="E50" s="843">
        <v>118</v>
      </c>
      <c r="F50" s="831">
        <v>1372</v>
      </c>
      <c r="G50" s="831">
        <v>1372</v>
      </c>
      <c r="H50" s="831">
        <v>686</v>
      </c>
      <c r="I50" s="848">
        <v>117.6</v>
      </c>
      <c r="J50" s="848">
        <v>117.6</v>
      </c>
      <c r="K50" s="848">
        <v>58.8</v>
      </c>
      <c r="L50" s="831">
        <v>400</v>
      </c>
      <c r="M50" s="831">
        <v>0.26</v>
      </c>
      <c r="N50" s="831"/>
      <c r="O50" s="832">
        <v>1</v>
      </c>
      <c r="P50" s="831" t="s">
        <v>3848</v>
      </c>
      <c r="Q50" s="832"/>
      <c r="R50" s="833"/>
      <c r="S50" s="869">
        <v>44</v>
      </c>
      <c r="T50" s="831">
        <v>4.08</v>
      </c>
      <c r="U50" s="831">
        <v>1754</v>
      </c>
      <c r="V50" s="831">
        <v>1274</v>
      </c>
      <c r="W50" s="831">
        <v>361</v>
      </c>
    </row>
    <row r="51" spans="1:23">
      <c r="A51" s="840">
        <v>107</v>
      </c>
      <c r="B51" s="841" t="s">
        <v>3191</v>
      </c>
      <c r="C51" s="842">
        <v>119</v>
      </c>
      <c r="D51" s="843">
        <v>120</v>
      </c>
      <c r="E51" s="843">
        <v>121</v>
      </c>
      <c r="F51" s="831">
        <v>1274</v>
      </c>
      <c r="G51" s="831">
        <v>1274</v>
      </c>
      <c r="H51" s="831">
        <v>686</v>
      </c>
      <c r="I51" s="848">
        <v>117.6</v>
      </c>
      <c r="J51" s="848">
        <v>117.6</v>
      </c>
      <c r="K51" s="848">
        <v>58.8</v>
      </c>
      <c r="L51" s="831">
        <v>220</v>
      </c>
      <c r="M51" s="831">
        <v>0.26</v>
      </c>
      <c r="N51" s="831"/>
      <c r="O51" s="832">
        <v>1</v>
      </c>
      <c r="P51" s="831" t="s">
        <v>3191</v>
      </c>
      <c r="Q51" s="832"/>
      <c r="R51" s="833"/>
      <c r="S51" s="869">
        <v>45</v>
      </c>
      <c r="T51" s="831">
        <v>2.78</v>
      </c>
      <c r="U51" s="831">
        <v>1601</v>
      </c>
      <c r="V51" s="831">
        <v>1274</v>
      </c>
      <c r="W51" s="831">
        <v>360</v>
      </c>
    </row>
    <row r="52" spans="1:23">
      <c r="A52" s="840">
        <v>108</v>
      </c>
      <c r="B52" s="841" t="s">
        <v>3192</v>
      </c>
      <c r="C52" s="842">
        <v>122</v>
      </c>
      <c r="D52" s="843">
        <v>123</v>
      </c>
      <c r="E52" s="843">
        <v>124</v>
      </c>
      <c r="F52" s="831">
        <v>1176</v>
      </c>
      <c r="G52" s="831">
        <v>1176</v>
      </c>
      <c r="H52" s="831">
        <v>637</v>
      </c>
      <c r="I52" s="848">
        <v>117.6</v>
      </c>
      <c r="J52" s="848">
        <v>117.6</v>
      </c>
      <c r="K52" s="848">
        <v>29.4</v>
      </c>
      <c r="L52" s="831">
        <v>200</v>
      </c>
      <c r="M52" s="831">
        <v>0.26</v>
      </c>
      <c r="N52" s="831"/>
      <c r="O52" s="832">
        <v>1</v>
      </c>
      <c r="P52" s="831" t="s">
        <v>3192</v>
      </c>
      <c r="Q52" s="832"/>
      <c r="R52" s="833"/>
      <c r="S52" s="869">
        <v>46</v>
      </c>
      <c r="T52" s="831">
        <v>2.85</v>
      </c>
      <c r="U52" s="831">
        <v>853</v>
      </c>
      <c r="V52" s="831">
        <v>686</v>
      </c>
      <c r="W52" s="831">
        <v>163</v>
      </c>
    </row>
    <row r="53" spans="1:23">
      <c r="A53" s="840">
        <v>109</v>
      </c>
      <c r="B53" s="841" t="s">
        <v>3201</v>
      </c>
      <c r="C53" s="842">
        <v>101</v>
      </c>
      <c r="D53" s="843">
        <v>102</v>
      </c>
      <c r="E53" s="843">
        <v>103</v>
      </c>
      <c r="F53" s="831">
        <v>921</v>
      </c>
      <c r="G53" s="831">
        <v>921</v>
      </c>
      <c r="H53" s="831">
        <v>461</v>
      </c>
      <c r="I53" s="848">
        <v>78.400000000000006</v>
      </c>
      <c r="J53" s="848">
        <v>78.400000000000006</v>
      </c>
      <c r="K53" s="848">
        <v>40.200000000000003</v>
      </c>
      <c r="L53" s="831">
        <v>165</v>
      </c>
      <c r="M53" s="831">
        <v>0.215</v>
      </c>
      <c r="N53" s="831">
        <v>0.23799999999999999</v>
      </c>
      <c r="O53" s="832">
        <v>1</v>
      </c>
      <c r="P53" s="831" t="s">
        <v>3201</v>
      </c>
      <c r="Q53" s="832"/>
      <c r="R53" s="833"/>
      <c r="S53" s="869">
        <v>47</v>
      </c>
      <c r="T53" s="831">
        <v>5.92</v>
      </c>
      <c r="U53" s="831">
        <v>936</v>
      </c>
      <c r="V53" s="831">
        <v>588</v>
      </c>
      <c r="W53" s="831">
        <v>102</v>
      </c>
    </row>
    <row r="54" spans="1:23">
      <c r="A54" s="840">
        <v>110</v>
      </c>
      <c r="B54" s="841" t="s">
        <v>3202</v>
      </c>
      <c r="C54" s="842">
        <v>104</v>
      </c>
      <c r="D54" s="843">
        <v>105</v>
      </c>
      <c r="E54" s="843">
        <v>106</v>
      </c>
      <c r="F54" s="831">
        <v>1274</v>
      </c>
      <c r="G54" s="831">
        <v>1274</v>
      </c>
      <c r="H54" s="831">
        <v>686</v>
      </c>
      <c r="I54" s="848">
        <v>117.6</v>
      </c>
      <c r="J54" s="848">
        <v>117.6</v>
      </c>
      <c r="K54" s="848">
        <v>58.8</v>
      </c>
      <c r="L54" s="831">
        <v>200</v>
      </c>
      <c r="M54" s="831">
        <v>0.26</v>
      </c>
      <c r="N54" s="831">
        <v>0.27500000000000002</v>
      </c>
      <c r="O54" s="832">
        <v>1</v>
      </c>
      <c r="P54" s="831" t="s">
        <v>3202</v>
      </c>
      <c r="Q54" s="832"/>
      <c r="R54" s="833"/>
      <c r="S54" s="869">
        <v>48</v>
      </c>
      <c r="T54" s="831">
        <v>4.24</v>
      </c>
      <c r="U54" s="831">
        <v>837</v>
      </c>
      <c r="V54" s="831">
        <v>588</v>
      </c>
      <c r="W54" s="831">
        <v>145</v>
      </c>
    </row>
    <row r="55" spans="1:23">
      <c r="A55" s="840">
        <v>111</v>
      </c>
      <c r="B55" s="841" t="s">
        <v>221</v>
      </c>
      <c r="C55" s="842">
        <v>125</v>
      </c>
      <c r="D55" s="843">
        <v>126</v>
      </c>
      <c r="E55" s="843">
        <v>127</v>
      </c>
      <c r="F55" s="831">
        <v>588</v>
      </c>
      <c r="G55" s="831">
        <v>588</v>
      </c>
      <c r="H55" s="831">
        <v>343</v>
      </c>
      <c r="I55" s="848">
        <v>58.8</v>
      </c>
      <c r="J55" s="848">
        <v>58.8</v>
      </c>
      <c r="K55" s="848">
        <v>22.5</v>
      </c>
      <c r="L55" s="831">
        <v>125</v>
      </c>
      <c r="M55" s="831">
        <v>0.215</v>
      </c>
      <c r="N55" s="831">
        <v>0.23799999999999999</v>
      </c>
      <c r="O55" s="832">
        <v>1</v>
      </c>
      <c r="P55" s="831" t="s">
        <v>221</v>
      </c>
      <c r="Q55" s="832"/>
      <c r="R55" s="833"/>
      <c r="S55" s="869">
        <v>49</v>
      </c>
      <c r="T55" s="831">
        <v>4.51</v>
      </c>
      <c r="U55" s="831">
        <v>431</v>
      </c>
      <c r="V55" s="831">
        <v>343</v>
      </c>
      <c r="W55" s="831">
        <v>36</v>
      </c>
    </row>
    <row r="56" spans="1:23">
      <c r="A56" s="840">
        <v>112</v>
      </c>
      <c r="B56" s="841" t="s">
        <v>2020</v>
      </c>
      <c r="C56" s="842">
        <v>151</v>
      </c>
      <c r="D56" s="843">
        <v>152</v>
      </c>
      <c r="E56" s="843">
        <v>153</v>
      </c>
      <c r="F56" s="831">
        <v>15.7</v>
      </c>
      <c r="G56" s="831">
        <v>9.8000000000000007</v>
      </c>
      <c r="H56" s="831">
        <v>5.9</v>
      </c>
      <c r="I56" s="848">
        <v>0.63</v>
      </c>
      <c r="J56" s="848">
        <v>0.22</v>
      </c>
      <c r="K56" s="848">
        <v>6.0999999999999999E-2</v>
      </c>
      <c r="L56" s="831">
        <v>6</v>
      </c>
      <c r="M56" s="831">
        <v>0.1</v>
      </c>
      <c r="N56" s="831"/>
      <c r="O56" s="832">
        <v>4</v>
      </c>
      <c r="P56" s="831" t="s">
        <v>2020</v>
      </c>
      <c r="Q56" s="832"/>
      <c r="R56" s="833"/>
      <c r="S56" s="869">
        <v>50</v>
      </c>
      <c r="T56" s="831">
        <v>7.42</v>
      </c>
      <c r="U56" s="831">
        <v>1024</v>
      </c>
      <c r="V56" s="831">
        <v>588</v>
      </c>
      <c r="W56" s="831">
        <v>102</v>
      </c>
    </row>
    <row r="57" spans="1:23">
      <c r="A57" s="840">
        <v>113</v>
      </c>
      <c r="B57" s="841" t="s">
        <v>886</v>
      </c>
      <c r="C57" s="842">
        <v>154</v>
      </c>
      <c r="D57" s="843">
        <v>154</v>
      </c>
      <c r="E57" s="843">
        <v>289</v>
      </c>
      <c r="F57" s="831">
        <v>39.200000000000003</v>
      </c>
      <c r="G57" s="831">
        <v>39.200000000000003</v>
      </c>
      <c r="H57" s="831">
        <v>19.600000000000001</v>
      </c>
      <c r="I57" s="848">
        <v>0.88</v>
      </c>
      <c r="J57" s="848">
        <v>0.88</v>
      </c>
      <c r="K57" s="848">
        <v>0.25</v>
      </c>
      <c r="L57" s="831">
        <v>20</v>
      </c>
      <c r="M57" s="831">
        <v>0.1</v>
      </c>
      <c r="N57" s="831"/>
      <c r="O57" s="832">
        <v>4</v>
      </c>
      <c r="P57" s="831" t="s">
        <v>3180</v>
      </c>
      <c r="Q57" s="832"/>
      <c r="R57" s="833"/>
      <c r="S57" s="869">
        <v>51</v>
      </c>
      <c r="T57" s="831">
        <v>4.24</v>
      </c>
      <c r="U57" s="831">
        <v>837</v>
      </c>
      <c r="V57" s="831">
        <v>588</v>
      </c>
      <c r="W57" s="831">
        <v>145</v>
      </c>
    </row>
    <row r="58" spans="1:23">
      <c r="A58" s="840">
        <v>114</v>
      </c>
      <c r="B58" s="841" t="s">
        <v>1412</v>
      </c>
      <c r="C58" s="842">
        <v>156</v>
      </c>
      <c r="D58" s="843">
        <v>156</v>
      </c>
      <c r="E58" s="843">
        <v>157</v>
      </c>
      <c r="F58" s="831">
        <v>22</v>
      </c>
      <c r="G58" s="831">
        <v>22</v>
      </c>
      <c r="H58" s="831">
        <v>9.8000000000000007</v>
      </c>
      <c r="I58" s="848">
        <v>0.63</v>
      </c>
      <c r="J58" s="848">
        <v>0.63</v>
      </c>
      <c r="K58" s="848">
        <v>0.15</v>
      </c>
      <c r="L58" s="831">
        <v>10</v>
      </c>
      <c r="M58" s="831">
        <v>0.1</v>
      </c>
      <c r="N58" s="831"/>
      <c r="O58" s="832">
        <v>4</v>
      </c>
      <c r="P58" s="831" t="s">
        <v>230</v>
      </c>
      <c r="Q58" s="832"/>
      <c r="R58" s="833"/>
      <c r="S58" s="869">
        <v>52</v>
      </c>
      <c r="T58" s="831">
        <v>5.47</v>
      </c>
      <c r="U58" s="831">
        <v>466</v>
      </c>
      <c r="V58" s="831">
        <v>343</v>
      </c>
      <c r="W58" s="831">
        <v>51</v>
      </c>
    </row>
    <row r="59" spans="1:23">
      <c r="A59" s="840">
        <v>115</v>
      </c>
      <c r="B59" s="841" t="s">
        <v>3430</v>
      </c>
      <c r="C59" s="842">
        <v>107</v>
      </c>
      <c r="D59" s="843">
        <v>108</v>
      </c>
      <c r="E59" s="843">
        <v>109</v>
      </c>
      <c r="F59" s="831">
        <v>176</v>
      </c>
      <c r="G59" s="831">
        <v>176</v>
      </c>
      <c r="H59" s="831">
        <v>98</v>
      </c>
      <c r="I59" s="848">
        <v>10.8</v>
      </c>
      <c r="J59" s="848">
        <v>10.8</v>
      </c>
      <c r="K59" s="848">
        <v>3.3</v>
      </c>
      <c r="L59" s="831">
        <v>45</v>
      </c>
      <c r="M59" s="831">
        <v>0.17499999999999999</v>
      </c>
      <c r="N59" s="831"/>
      <c r="O59" s="832">
        <v>1</v>
      </c>
      <c r="P59" s="831" t="s">
        <v>3430</v>
      </c>
      <c r="Q59" s="832"/>
      <c r="R59" s="833"/>
      <c r="S59" s="869">
        <v>53</v>
      </c>
      <c r="T59" s="831">
        <v>4.08</v>
      </c>
      <c r="U59" s="831">
        <v>853</v>
      </c>
      <c r="V59" s="831">
        <v>686</v>
      </c>
      <c r="W59" s="831">
        <v>102</v>
      </c>
    </row>
    <row r="60" spans="1:23">
      <c r="A60" s="840">
        <v>116</v>
      </c>
      <c r="B60" s="841" t="s">
        <v>2193</v>
      </c>
      <c r="C60" s="842">
        <v>128</v>
      </c>
      <c r="D60" s="843">
        <v>129</v>
      </c>
      <c r="E60" s="843">
        <v>130</v>
      </c>
      <c r="F60" s="831">
        <v>294</v>
      </c>
      <c r="G60" s="831">
        <v>294</v>
      </c>
      <c r="H60" s="831">
        <v>147</v>
      </c>
      <c r="I60" s="848">
        <v>12.9</v>
      </c>
      <c r="J60" s="848">
        <v>12.9</v>
      </c>
      <c r="K60" s="848">
        <v>3.2</v>
      </c>
      <c r="L60" s="831">
        <v>70</v>
      </c>
      <c r="M60" s="831">
        <v>0.17499999999999999</v>
      </c>
      <c r="N60" s="831"/>
      <c r="O60" s="832">
        <v>1</v>
      </c>
      <c r="P60" s="831" t="s">
        <v>3042</v>
      </c>
      <c r="Q60" s="832"/>
      <c r="R60" s="833"/>
      <c r="S60" s="869">
        <v>54</v>
      </c>
      <c r="T60" s="831">
        <v>2.78</v>
      </c>
      <c r="U60" s="831">
        <v>800</v>
      </c>
      <c r="V60" s="831">
        <v>686</v>
      </c>
      <c r="W60" s="831">
        <v>104</v>
      </c>
    </row>
    <row r="61" spans="1:23">
      <c r="A61" s="840">
        <v>117</v>
      </c>
      <c r="B61" s="841" t="s">
        <v>2194</v>
      </c>
      <c r="C61" s="842">
        <v>128</v>
      </c>
      <c r="D61" s="843">
        <v>129</v>
      </c>
      <c r="E61" s="843">
        <v>130</v>
      </c>
      <c r="F61" s="831">
        <v>294</v>
      </c>
      <c r="G61" s="831">
        <v>294</v>
      </c>
      <c r="H61" s="831">
        <v>147</v>
      </c>
      <c r="I61" s="848">
        <v>12.9</v>
      </c>
      <c r="J61" s="848">
        <v>12.9</v>
      </c>
      <c r="K61" s="848">
        <v>3.2</v>
      </c>
      <c r="L61" s="831">
        <v>70</v>
      </c>
      <c r="M61" s="831">
        <v>0.17499999999999999</v>
      </c>
      <c r="N61" s="831"/>
      <c r="O61" s="832">
        <v>1</v>
      </c>
      <c r="P61" s="831" t="s">
        <v>3203</v>
      </c>
      <c r="Q61" s="832"/>
      <c r="R61" s="833"/>
      <c r="S61" s="869">
        <v>55</v>
      </c>
      <c r="T61" s="831">
        <v>2.85</v>
      </c>
      <c r="U61" s="831">
        <v>372</v>
      </c>
      <c r="V61" s="831">
        <v>343</v>
      </c>
      <c r="W61" s="831">
        <v>35</v>
      </c>
    </row>
    <row r="62" spans="1:23">
      <c r="A62" s="840">
        <v>118</v>
      </c>
      <c r="B62" s="841" t="s">
        <v>351</v>
      </c>
      <c r="C62" s="842">
        <v>151</v>
      </c>
      <c r="D62" s="843">
        <v>152</v>
      </c>
      <c r="E62" s="843">
        <v>153</v>
      </c>
      <c r="F62" s="831">
        <v>15.7</v>
      </c>
      <c r="G62" s="831">
        <v>9.8000000000000007</v>
      </c>
      <c r="H62" s="831">
        <v>5.9</v>
      </c>
      <c r="I62" s="848">
        <v>0.63</v>
      </c>
      <c r="J62" s="848">
        <v>0.22</v>
      </c>
      <c r="K62" s="848">
        <v>6.0999999999999999E-2</v>
      </c>
      <c r="L62" s="831">
        <v>6</v>
      </c>
      <c r="M62" s="831">
        <v>0.1</v>
      </c>
      <c r="N62" s="831"/>
      <c r="O62" s="832">
        <v>4</v>
      </c>
      <c r="P62" s="831" t="s">
        <v>2951</v>
      </c>
      <c r="Q62" s="832"/>
      <c r="R62" s="833"/>
      <c r="S62" s="869">
        <v>56</v>
      </c>
      <c r="T62" s="831">
        <v>2.1800000000000002</v>
      </c>
      <c r="U62" s="831">
        <v>1629</v>
      </c>
      <c r="V62" s="831">
        <v>1372</v>
      </c>
      <c r="W62" s="831">
        <v>440</v>
      </c>
    </row>
    <row r="63" spans="1:23">
      <c r="A63" s="840">
        <v>119</v>
      </c>
      <c r="B63" s="853" t="s">
        <v>835</v>
      </c>
      <c r="C63" s="842">
        <v>154</v>
      </c>
      <c r="D63" s="843">
        <v>154</v>
      </c>
      <c r="E63" s="843">
        <v>289</v>
      </c>
      <c r="F63" s="831">
        <v>39.200000000000003</v>
      </c>
      <c r="G63" s="831">
        <v>39.200000000000003</v>
      </c>
      <c r="H63" s="831">
        <v>19.600000000000001</v>
      </c>
      <c r="I63" s="848">
        <v>0.88</v>
      </c>
      <c r="J63" s="848">
        <v>0.88</v>
      </c>
      <c r="K63" s="848">
        <v>0.25</v>
      </c>
      <c r="L63" s="831">
        <v>20</v>
      </c>
      <c r="M63" s="831">
        <v>0.1</v>
      </c>
      <c r="N63" s="831"/>
      <c r="O63" s="832">
        <v>4</v>
      </c>
      <c r="P63" s="848" t="s">
        <v>2612</v>
      </c>
      <c r="Q63" s="832"/>
      <c r="R63" s="833"/>
      <c r="S63" s="869">
        <v>57</v>
      </c>
      <c r="T63" s="831">
        <v>2.1800000000000002</v>
      </c>
      <c r="U63" s="831">
        <v>1629</v>
      </c>
      <c r="V63" s="831">
        <v>1372</v>
      </c>
      <c r="W63" s="831">
        <v>460</v>
      </c>
    </row>
    <row r="64" spans="1:23">
      <c r="A64" s="840">
        <v>120</v>
      </c>
      <c r="B64" s="841" t="s">
        <v>2287</v>
      </c>
      <c r="C64" s="842">
        <v>104</v>
      </c>
      <c r="D64" s="843">
        <v>105</v>
      </c>
      <c r="E64" s="843">
        <v>106</v>
      </c>
      <c r="F64" s="831">
        <v>1274</v>
      </c>
      <c r="G64" s="831">
        <v>1274</v>
      </c>
      <c r="H64" s="831">
        <v>686</v>
      </c>
      <c r="I64" s="848">
        <v>117.6</v>
      </c>
      <c r="J64" s="848">
        <v>117.6</v>
      </c>
      <c r="K64" s="848">
        <v>58.8</v>
      </c>
      <c r="L64" s="831">
        <v>200</v>
      </c>
      <c r="M64" s="831">
        <v>0.26</v>
      </c>
      <c r="N64" s="831">
        <v>0.27500000000000002</v>
      </c>
      <c r="O64" s="832">
        <v>1</v>
      </c>
      <c r="P64" s="831" t="s">
        <v>2287</v>
      </c>
      <c r="Q64" s="832"/>
      <c r="R64" s="833"/>
      <c r="S64" s="869">
        <v>58</v>
      </c>
      <c r="T64" s="831">
        <v>3.49</v>
      </c>
      <c r="U64" s="831">
        <v>891</v>
      </c>
      <c r="V64" s="831">
        <v>686</v>
      </c>
      <c r="W64" s="831">
        <v>164</v>
      </c>
    </row>
    <row r="65" spans="1:23">
      <c r="A65" s="840">
        <v>121</v>
      </c>
      <c r="B65" s="841" t="s">
        <v>3437</v>
      </c>
      <c r="C65" s="842">
        <v>158</v>
      </c>
      <c r="D65" s="843">
        <v>159</v>
      </c>
      <c r="E65" s="843">
        <v>160</v>
      </c>
      <c r="F65" s="831">
        <v>15.7</v>
      </c>
      <c r="G65" s="831">
        <v>15.7</v>
      </c>
      <c r="H65" s="831">
        <v>6.9</v>
      </c>
      <c r="I65" s="848">
        <v>0.63</v>
      </c>
      <c r="J65" s="848">
        <v>0.36</v>
      </c>
      <c r="K65" s="848">
        <v>6.4000000000000001E-2</v>
      </c>
      <c r="L65" s="831">
        <v>10</v>
      </c>
      <c r="M65" s="831">
        <v>0.1</v>
      </c>
      <c r="N65" s="831"/>
      <c r="O65" s="832">
        <v>4</v>
      </c>
      <c r="P65" s="831" t="s">
        <v>3437</v>
      </c>
      <c r="Q65" s="832"/>
      <c r="R65" s="833"/>
      <c r="S65" s="869">
        <v>59</v>
      </c>
      <c r="T65" s="831">
        <v>4.01</v>
      </c>
      <c r="U65" s="831">
        <v>1648</v>
      </c>
      <c r="V65" s="831">
        <v>1176</v>
      </c>
      <c r="W65" s="831">
        <v>340</v>
      </c>
    </row>
    <row r="66" spans="1:23">
      <c r="A66" s="840">
        <v>122</v>
      </c>
      <c r="B66" s="841" t="s">
        <v>1559</v>
      </c>
      <c r="C66" s="842">
        <v>161</v>
      </c>
      <c r="D66" s="843">
        <v>162</v>
      </c>
      <c r="E66" s="843">
        <v>163</v>
      </c>
      <c r="F66" s="831">
        <v>15.7</v>
      </c>
      <c r="G66" s="831">
        <v>9.8000000000000007</v>
      </c>
      <c r="H66" s="831">
        <v>2</v>
      </c>
      <c r="I66" s="848">
        <v>0.63</v>
      </c>
      <c r="J66" s="848">
        <v>0.22</v>
      </c>
      <c r="K66" s="848">
        <v>3.5000000000000003E-2</v>
      </c>
      <c r="L66" s="831">
        <v>2</v>
      </c>
      <c r="M66" s="831">
        <v>0.1</v>
      </c>
      <c r="N66" s="831"/>
      <c r="O66" s="832">
        <v>4</v>
      </c>
      <c r="P66" s="831" t="s">
        <v>1559</v>
      </c>
      <c r="Q66" s="832"/>
      <c r="R66" s="833"/>
      <c r="S66" s="869">
        <v>60</v>
      </c>
      <c r="T66" s="831">
        <v>2.87</v>
      </c>
      <c r="U66" s="831">
        <v>1513</v>
      </c>
      <c r="V66" s="831">
        <v>1176</v>
      </c>
      <c r="W66" s="831">
        <v>348</v>
      </c>
    </row>
    <row r="67" spans="1:23">
      <c r="A67" s="840">
        <v>123</v>
      </c>
      <c r="B67" s="841" t="s">
        <v>876</v>
      </c>
      <c r="C67" s="842">
        <v>164</v>
      </c>
      <c r="D67" s="843">
        <v>165</v>
      </c>
      <c r="E67" s="843">
        <v>166</v>
      </c>
      <c r="F67" s="831">
        <v>13.7</v>
      </c>
      <c r="G67" s="831">
        <v>7.8</v>
      </c>
      <c r="H67" s="831">
        <v>1.2</v>
      </c>
      <c r="I67" s="848">
        <v>0.61</v>
      </c>
      <c r="J67" s="848">
        <v>0.2</v>
      </c>
      <c r="K67" s="848">
        <v>0.02</v>
      </c>
      <c r="L67" s="831">
        <v>2</v>
      </c>
      <c r="M67" s="831">
        <v>0.12</v>
      </c>
      <c r="N67" s="831"/>
      <c r="O67" s="832">
        <v>7</v>
      </c>
      <c r="P67" s="831" t="s">
        <v>877</v>
      </c>
      <c r="Q67" s="832" t="s">
        <v>878</v>
      </c>
      <c r="R67" s="845">
        <v>0.08</v>
      </c>
      <c r="S67" s="869">
        <v>61</v>
      </c>
      <c r="T67" s="831">
        <v>4.99</v>
      </c>
      <c r="U67" s="831">
        <v>784</v>
      </c>
      <c r="V67" s="831">
        <v>637</v>
      </c>
      <c r="W67" s="831">
        <v>114</v>
      </c>
    </row>
    <row r="68" spans="1:23">
      <c r="A68" s="840">
        <v>201</v>
      </c>
      <c r="B68" s="841" t="s">
        <v>2457</v>
      </c>
      <c r="C68" s="842">
        <v>201</v>
      </c>
      <c r="D68" s="843">
        <v>202</v>
      </c>
      <c r="E68" s="843">
        <v>203</v>
      </c>
      <c r="F68" s="831">
        <v>1274</v>
      </c>
      <c r="G68" s="831">
        <v>1274</v>
      </c>
      <c r="H68" s="854">
        <v>686</v>
      </c>
      <c r="I68" s="844">
        <v>117.6</v>
      </c>
      <c r="J68" s="844">
        <v>117.6</v>
      </c>
      <c r="K68" s="848">
        <v>58.8</v>
      </c>
      <c r="L68" s="831">
        <v>200</v>
      </c>
      <c r="M68" s="831">
        <v>0.26</v>
      </c>
      <c r="N68" s="831"/>
      <c r="O68" s="832">
        <v>1</v>
      </c>
      <c r="P68" s="831" t="s">
        <v>2457</v>
      </c>
      <c r="Q68" s="832"/>
      <c r="R68" s="833"/>
      <c r="S68" s="869">
        <v>62</v>
      </c>
      <c r="T68" s="831">
        <v>3.84</v>
      </c>
      <c r="U68" s="831">
        <v>1726</v>
      </c>
      <c r="V68" s="831">
        <v>1274</v>
      </c>
      <c r="W68" s="831">
        <v>386</v>
      </c>
    </row>
    <row r="69" spans="1:23">
      <c r="A69" s="840">
        <v>202</v>
      </c>
      <c r="B69" s="841" t="s">
        <v>1640</v>
      </c>
      <c r="C69" s="842">
        <v>204</v>
      </c>
      <c r="D69" s="843">
        <v>205</v>
      </c>
      <c r="E69" s="843">
        <v>206</v>
      </c>
      <c r="F69" s="831">
        <v>1274</v>
      </c>
      <c r="G69" s="831">
        <v>1274</v>
      </c>
      <c r="H69" s="854">
        <v>686</v>
      </c>
      <c r="I69" s="844">
        <v>215.6</v>
      </c>
      <c r="J69" s="844">
        <v>215.6</v>
      </c>
      <c r="K69" s="848">
        <v>196</v>
      </c>
      <c r="L69" s="831">
        <v>200</v>
      </c>
      <c r="M69" s="831">
        <v>0.26</v>
      </c>
      <c r="N69" s="831"/>
      <c r="O69" s="832">
        <v>1</v>
      </c>
      <c r="P69" s="831" t="s">
        <v>1640</v>
      </c>
      <c r="Q69" s="832"/>
      <c r="R69" s="833"/>
      <c r="S69" s="869">
        <v>63</v>
      </c>
      <c r="T69" s="831">
        <v>3.2</v>
      </c>
      <c r="U69" s="831">
        <v>1650</v>
      </c>
      <c r="V69" s="831">
        <v>1274</v>
      </c>
      <c r="W69" s="831">
        <v>399</v>
      </c>
    </row>
    <row r="70" spans="1:23">
      <c r="A70" s="840">
        <v>203</v>
      </c>
      <c r="B70" s="841" t="s">
        <v>2710</v>
      </c>
      <c r="C70" s="842">
        <v>207</v>
      </c>
      <c r="D70" s="843">
        <v>208</v>
      </c>
      <c r="E70" s="843">
        <v>209</v>
      </c>
      <c r="F70" s="831">
        <v>1333</v>
      </c>
      <c r="G70" s="831">
        <v>1333</v>
      </c>
      <c r="H70" s="831">
        <v>706</v>
      </c>
      <c r="I70" s="844">
        <v>141.1</v>
      </c>
      <c r="J70" s="844">
        <v>141.1</v>
      </c>
      <c r="K70" s="848">
        <v>78.400000000000006</v>
      </c>
      <c r="L70" s="831">
        <v>210</v>
      </c>
      <c r="M70" s="831">
        <v>0.23499999999999999</v>
      </c>
      <c r="N70" s="831"/>
      <c r="O70" s="832">
        <v>1</v>
      </c>
      <c r="P70" s="831" t="s">
        <v>2710</v>
      </c>
      <c r="Q70" s="832"/>
      <c r="R70" s="833"/>
      <c r="S70" s="869">
        <v>64</v>
      </c>
      <c r="T70" s="831">
        <v>4.1100000000000003</v>
      </c>
      <c r="U70" s="831">
        <v>928</v>
      </c>
      <c r="V70" s="831">
        <v>686</v>
      </c>
      <c r="W70" s="831">
        <v>164</v>
      </c>
    </row>
    <row r="71" spans="1:23">
      <c r="A71" s="840">
        <v>204</v>
      </c>
      <c r="B71" s="841" t="s">
        <v>2336</v>
      </c>
      <c r="C71" s="842">
        <v>210</v>
      </c>
      <c r="D71" s="843">
        <v>211</v>
      </c>
      <c r="E71" s="843">
        <v>212</v>
      </c>
      <c r="F71" s="831">
        <v>1333</v>
      </c>
      <c r="G71" s="831">
        <v>1333</v>
      </c>
      <c r="H71" s="831">
        <v>706</v>
      </c>
      <c r="I71" s="844">
        <v>215.6</v>
      </c>
      <c r="J71" s="844">
        <v>215.6</v>
      </c>
      <c r="K71" s="844">
        <v>196</v>
      </c>
      <c r="L71" s="831">
        <v>210</v>
      </c>
      <c r="M71" s="831">
        <v>0.23499999999999999</v>
      </c>
      <c r="N71" s="831"/>
      <c r="O71" s="832">
        <v>1</v>
      </c>
      <c r="P71" s="831" t="s">
        <v>2336</v>
      </c>
      <c r="Q71" s="832"/>
      <c r="R71" s="833"/>
      <c r="S71" s="869">
        <v>65</v>
      </c>
      <c r="T71" s="831">
        <v>15.51</v>
      </c>
      <c r="U71" s="831">
        <v>43.6</v>
      </c>
      <c r="V71" s="831">
        <v>32.299999999999997</v>
      </c>
      <c r="W71" s="831">
        <v>4.5599999999999996</v>
      </c>
    </row>
    <row r="72" spans="1:23">
      <c r="A72" s="840">
        <v>205</v>
      </c>
      <c r="B72" s="841" t="s">
        <v>1565</v>
      </c>
      <c r="C72" s="842">
        <v>213</v>
      </c>
      <c r="D72" s="843">
        <v>214</v>
      </c>
      <c r="E72" s="843">
        <v>215</v>
      </c>
      <c r="F72" s="831">
        <v>980</v>
      </c>
      <c r="G72" s="831">
        <v>980</v>
      </c>
      <c r="H72" s="831">
        <v>706</v>
      </c>
      <c r="I72" s="844">
        <v>225.4</v>
      </c>
      <c r="J72" s="844">
        <v>225.4</v>
      </c>
      <c r="K72" s="844">
        <v>196</v>
      </c>
      <c r="L72" s="831">
        <v>100</v>
      </c>
      <c r="M72" s="831">
        <v>0.23499999999999999</v>
      </c>
      <c r="N72" s="831"/>
      <c r="O72" s="832">
        <v>1</v>
      </c>
      <c r="P72" s="831" t="s">
        <v>3540</v>
      </c>
      <c r="Q72" s="832"/>
      <c r="R72" s="833"/>
      <c r="S72" s="869">
        <v>66</v>
      </c>
      <c r="T72" s="831">
        <v>15.51</v>
      </c>
      <c r="U72" s="831">
        <v>43.6</v>
      </c>
      <c r="V72" s="831">
        <v>32.299999999999997</v>
      </c>
      <c r="W72" s="831">
        <v>3.02</v>
      </c>
    </row>
    <row r="73" spans="1:23">
      <c r="A73" s="840">
        <v>211</v>
      </c>
      <c r="B73" s="841" t="s">
        <v>2458</v>
      </c>
      <c r="C73" s="842">
        <v>221</v>
      </c>
      <c r="D73" s="843">
        <v>222</v>
      </c>
      <c r="E73" s="843">
        <v>223</v>
      </c>
      <c r="F73" s="831">
        <v>1960</v>
      </c>
      <c r="G73" s="831">
        <v>1960</v>
      </c>
      <c r="H73" s="854">
        <v>892</v>
      </c>
      <c r="I73" s="844">
        <v>235</v>
      </c>
      <c r="J73" s="844">
        <v>235</v>
      </c>
      <c r="K73" s="848">
        <v>157</v>
      </c>
      <c r="L73" s="831">
        <v>350</v>
      </c>
      <c r="M73" s="831">
        <v>0.27</v>
      </c>
      <c r="N73" s="831">
        <v>0.29499999999999998</v>
      </c>
      <c r="O73" s="832">
        <v>1</v>
      </c>
      <c r="P73" s="831" t="s">
        <v>2458</v>
      </c>
      <c r="Q73" s="832"/>
      <c r="R73" s="833"/>
      <c r="S73" s="869">
        <v>67</v>
      </c>
      <c r="T73" s="831">
        <v>15.51</v>
      </c>
      <c r="U73" s="831">
        <v>23</v>
      </c>
      <c r="V73" s="831">
        <v>19.600000000000001</v>
      </c>
      <c r="W73" s="831">
        <v>3.39</v>
      </c>
    </row>
    <row r="74" spans="1:23">
      <c r="A74" s="840">
        <v>212</v>
      </c>
      <c r="B74" s="841" t="s">
        <v>2325</v>
      </c>
      <c r="C74" s="842">
        <v>224</v>
      </c>
      <c r="D74" s="843">
        <v>225</v>
      </c>
      <c r="E74" s="843">
        <v>226</v>
      </c>
      <c r="F74" s="831">
        <v>3381</v>
      </c>
      <c r="G74" s="831">
        <v>3381</v>
      </c>
      <c r="H74" s="854">
        <v>1725</v>
      </c>
      <c r="I74" s="844">
        <v>510</v>
      </c>
      <c r="J74" s="844">
        <v>510</v>
      </c>
      <c r="K74" s="848">
        <v>320</v>
      </c>
      <c r="L74" s="831">
        <v>600</v>
      </c>
      <c r="M74" s="831">
        <v>0.3</v>
      </c>
      <c r="N74" s="831">
        <v>0.32500000000000001</v>
      </c>
      <c r="O74" s="832">
        <v>6</v>
      </c>
      <c r="P74" s="831" t="s">
        <v>1609</v>
      </c>
      <c r="Q74" s="832"/>
      <c r="R74" s="833"/>
      <c r="S74" s="869">
        <v>68</v>
      </c>
      <c r="T74" s="831">
        <v>29.09</v>
      </c>
      <c r="U74" s="831">
        <v>6.35</v>
      </c>
      <c r="V74" s="831">
        <v>4.9000000000000004</v>
      </c>
      <c r="W74" s="831">
        <v>0.85299999999999998</v>
      </c>
    </row>
    <row r="75" spans="1:23">
      <c r="A75" s="840">
        <v>213</v>
      </c>
      <c r="B75" s="841" t="s">
        <v>1083</v>
      </c>
      <c r="C75" s="842">
        <v>244</v>
      </c>
      <c r="D75" s="842">
        <v>245</v>
      </c>
      <c r="E75" s="842">
        <v>246</v>
      </c>
      <c r="F75" s="831">
        <v>1960</v>
      </c>
      <c r="G75" s="831">
        <v>1960</v>
      </c>
      <c r="H75" s="854">
        <v>892</v>
      </c>
      <c r="I75" s="844">
        <v>392</v>
      </c>
      <c r="J75" s="844">
        <v>392</v>
      </c>
      <c r="K75" s="848">
        <v>352.8</v>
      </c>
      <c r="L75" s="831">
        <v>350</v>
      </c>
      <c r="M75" s="831">
        <v>0.27</v>
      </c>
      <c r="N75" s="831">
        <v>0.29499999999999998</v>
      </c>
      <c r="O75" s="832">
        <v>1</v>
      </c>
      <c r="P75" s="831" t="s">
        <v>231</v>
      </c>
      <c r="Q75" s="832"/>
      <c r="R75" s="833"/>
      <c r="S75" s="869">
        <v>69</v>
      </c>
      <c r="T75" s="831">
        <v>31.17</v>
      </c>
      <c r="U75" s="831">
        <v>8.81</v>
      </c>
      <c r="V75" s="831">
        <v>5.44</v>
      </c>
      <c r="W75" s="831">
        <v>0.76200000000000001</v>
      </c>
    </row>
    <row r="76" spans="1:23">
      <c r="A76" s="840">
        <v>214</v>
      </c>
      <c r="B76" s="841" t="s">
        <v>1352</v>
      </c>
      <c r="C76" s="842">
        <v>247</v>
      </c>
      <c r="D76" s="842">
        <v>248</v>
      </c>
      <c r="E76" s="842">
        <v>249</v>
      </c>
      <c r="F76" s="831">
        <v>1666</v>
      </c>
      <c r="G76" s="831">
        <v>1666</v>
      </c>
      <c r="H76" s="854">
        <v>715.4</v>
      </c>
      <c r="I76" s="844">
        <v>188.2</v>
      </c>
      <c r="J76" s="844">
        <v>188.2</v>
      </c>
      <c r="K76" s="848">
        <v>117.6</v>
      </c>
      <c r="L76" s="831">
        <v>260</v>
      </c>
      <c r="M76" s="831">
        <v>0.27</v>
      </c>
      <c r="N76" s="831"/>
      <c r="O76" s="832">
        <v>1</v>
      </c>
      <c r="P76" s="831" t="s">
        <v>1884</v>
      </c>
      <c r="Q76" s="832"/>
      <c r="R76" s="833"/>
      <c r="S76" s="869">
        <v>70</v>
      </c>
      <c r="T76" s="831">
        <v>25.71</v>
      </c>
      <c r="U76" s="831">
        <v>8.2200000000000006</v>
      </c>
      <c r="V76" s="831">
        <v>5.44</v>
      </c>
      <c r="W76" s="831">
        <v>0.70199999999999996</v>
      </c>
    </row>
    <row r="77" spans="1:23">
      <c r="A77" s="840">
        <v>215</v>
      </c>
      <c r="B77" s="841" t="s">
        <v>1353</v>
      </c>
      <c r="C77" s="842">
        <v>250</v>
      </c>
      <c r="D77" s="842">
        <v>251</v>
      </c>
      <c r="E77" s="842">
        <v>252</v>
      </c>
      <c r="F77" s="831">
        <v>1666</v>
      </c>
      <c r="G77" s="831">
        <v>1666</v>
      </c>
      <c r="H77" s="854">
        <v>715.4</v>
      </c>
      <c r="I77" s="844">
        <v>313.60000000000002</v>
      </c>
      <c r="J77" s="844">
        <v>313.60000000000002</v>
      </c>
      <c r="K77" s="848">
        <v>225.4</v>
      </c>
      <c r="L77" s="831">
        <v>260</v>
      </c>
      <c r="M77" s="831">
        <v>0.27</v>
      </c>
      <c r="N77" s="831"/>
      <c r="O77" s="832">
        <v>1</v>
      </c>
      <c r="P77" s="831" t="s">
        <v>3402</v>
      </c>
      <c r="Q77" s="832"/>
      <c r="R77" s="833"/>
      <c r="S77" s="869">
        <v>71</v>
      </c>
      <c r="T77" s="831">
        <v>37.4</v>
      </c>
      <c r="U77" s="831">
        <v>5.42</v>
      </c>
      <c r="V77" s="831">
        <v>3.92</v>
      </c>
      <c r="W77" s="831">
        <v>0.14499999999999999</v>
      </c>
    </row>
    <row r="78" spans="1:23">
      <c r="A78" s="840">
        <v>216</v>
      </c>
      <c r="B78" s="841" t="s">
        <v>1661</v>
      </c>
      <c r="C78" s="842">
        <v>253</v>
      </c>
      <c r="D78" s="842">
        <v>254</v>
      </c>
      <c r="E78" s="842">
        <v>255</v>
      </c>
      <c r="F78" s="831">
        <v>3381</v>
      </c>
      <c r="G78" s="831">
        <v>3381</v>
      </c>
      <c r="H78" s="854">
        <v>1725</v>
      </c>
      <c r="I78" s="844">
        <v>1098</v>
      </c>
      <c r="J78" s="844">
        <v>1098</v>
      </c>
      <c r="K78" s="848">
        <v>444</v>
      </c>
      <c r="L78" s="831">
        <v>700</v>
      </c>
      <c r="M78" s="831">
        <v>0.3</v>
      </c>
      <c r="N78" s="831">
        <v>0.32500000000000001</v>
      </c>
      <c r="O78" s="831">
        <v>6</v>
      </c>
      <c r="P78" s="841" t="s">
        <v>1558</v>
      </c>
      <c r="Q78" s="832"/>
      <c r="R78" s="833"/>
      <c r="S78" s="869">
        <v>72</v>
      </c>
      <c r="T78" s="831">
        <v>5.45</v>
      </c>
      <c r="U78" s="831">
        <v>1135</v>
      </c>
      <c r="V78" s="831">
        <v>882</v>
      </c>
      <c r="W78" s="831">
        <v>152</v>
      </c>
    </row>
    <row r="79" spans="1:23">
      <c r="A79" s="840">
        <v>301</v>
      </c>
      <c r="B79" s="841" t="s">
        <v>2267</v>
      </c>
      <c r="C79" s="842">
        <v>227</v>
      </c>
      <c r="D79" s="843">
        <v>228</v>
      </c>
      <c r="E79" s="843">
        <v>229</v>
      </c>
      <c r="F79" s="831">
        <v>921</v>
      </c>
      <c r="G79" s="831">
        <v>921</v>
      </c>
      <c r="H79" s="854">
        <v>461</v>
      </c>
      <c r="I79" s="844">
        <v>78.400000000000006</v>
      </c>
      <c r="J79" s="844">
        <v>78.400000000000006</v>
      </c>
      <c r="K79" s="855">
        <v>40.18</v>
      </c>
      <c r="L79" s="831">
        <v>165</v>
      </c>
      <c r="M79" s="831">
        <v>0.215</v>
      </c>
      <c r="N79" s="831">
        <v>0.23799999999999999</v>
      </c>
      <c r="O79" s="832">
        <v>1</v>
      </c>
      <c r="P79" s="831" t="s">
        <v>3422</v>
      </c>
      <c r="Q79" s="832"/>
      <c r="R79" s="833"/>
      <c r="S79" s="869">
        <v>73</v>
      </c>
      <c r="T79" s="831">
        <v>4.26</v>
      </c>
      <c r="U79" s="831">
        <v>1080</v>
      </c>
      <c r="V79" s="831">
        <v>882</v>
      </c>
      <c r="W79" s="831">
        <v>184</v>
      </c>
    </row>
    <row r="80" spans="1:23">
      <c r="A80" s="840">
        <v>302</v>
      </c>
      <c r="B80" s="841" t="s">
        <v>2459</v>
      </c>
      <c r="C80" s="842">
        <v>230</v>
      </c>
      <c r="D80" s="843">
        <v>231</v>
      </c>
      <c r="E80" s="843">
        <v>229</v>
      </c>
      <c r="F80" s="831">
        <v>1075</v>
      </c>
      <c r="G80" s="831">
        <v>1075</v>
      </c>
      <c r="H80" s="854">
        <v>461</v>
      </c>
      <c r="I80" s="844">
        <v>97.8</v>
      </c>
      <c r="J80" s="844">
        <v>97.8</v>
      </c>
      <c r="K80" s="855">
        <v>40.18</v>
      </c>
      <c r="L80" s="831">
        <v>165</v>
      </c>
      <c r="M80" s="831">
        <v>0.31</v>
      </c>
      <c r="N80" s="831"/>
      <c r="O80" s="832">
        <v>1</v>
      </c>
      <c r="P80" s="831" t="s">
        <v>2265</v>
      </c>
      <c r="Q80" s="832"/>
      <c r="R80" s="833"/>
      <c r="S80" s="869">
        <v>74</v>
      </c>
      <c r="T80" s="831">
        <v>5.45</v>
      </c>
      <c r="U80" s="831">
        <v>595</v>
      </c>
      <c r="V80" s="831">
        <v>510</v>
      </c>
      <c r="W80" s="831">
        <v>80</v>
      </c>
    </row>
    <row r="81" spans="1:23">
      <c r="A81" s="840">
        <v>303</v>
      </c>
      <c r="B81" s="841" t="s">
        <v>3092</v>
      </c>
      <c r="C81" s="842">
        <v>232</v>
      </c>
      <c r="D81" s="843">
        <v>233</v>
      </c>
      <c r="E81" s="843">
        <v>234</v>
      </c>
      <c r="F81" s="831">
        <v>1411</v>
      </c>
      <c r="G81" s="831">
        <v>1411</v>
      </c>
      <c r="H81" s="854">
        <v>686</v>
      </c>
      <c r="I81" s="844">
        <v>136.80000000000001</v>
      </c>
      <c r="J81" s="844">
        <v>136.80000000000001</v>
      </c>
      <c r="K81" s="848">
        <v>58.8</v>
      </c>
      <c r="L81" s="831">
        <v>200</v>
      </c>
      <c r="M81" s="831">
        <v>0.32400000000000001</v>
      </c>
      <c r="N81" s="831"/>
      <c r="O81" s="832">
        <v>1</v>
      </c>
      <c r="P81" s="831" t="s">
        <v>2266</v>
      </c>
      <c r="Q81" s="832"/>
      <c r="R81" s="833"/>
      <c r="S81" s="869">
        <v>75</v>
      </c>
      <c r="T81" s="870">
        <v>31.166593785613035</v>
      </c>
      <c r="U81" s="870">
        <v>11.550989942414599</v>
      </c>
      <c r="V81" s="870">
        <v>7.25</v>
      </c>
      <c r="W81" s="870">
        <v>0.210734455335858</v>
      </c>
    </row>
    <row r="82" spans="1:23">
      <c r="A82" s="840">
        <v>1026</v>
      </c>
      <c r="B82" s="841" t="s">
        <v>3782</v>
      </c>
      <c r="C82" s="842">
        <v>38</v>
      </c>
      <c r="D82" s="843">
        <v>39</v>
      </c>
      <c r="E82" s="843">
        <v>40</v>
      </c>
      <c r="F82" s="831">
        <v>686</v>
      </c>
      <c r="G82" s="831">
        <v>686</v>
      </c>
      <c r="H82" s="831">
        <v>343</v>
      </c>
      <c r="I82" s="844">
        <v>40.9</v>
      </c>
      <c r="J82" s="844">
        <v>40.9</v>
      </c>
      <c r="K82" s="844">
        <v>10.199999999999999</v>
      </c>
      <c r="L82" s="831">
        <v>130</v>
      </c>
      <c r="M82" s="831">
        <v>0.25</v>
      </c>
      <c r="N82" s="831"/>
      <c r="O82" s="832">
        <v>1</v>
      </c>
      <c r="P82" s="831" t="s">
        <v>3205</v>
      </c>
      <c r="Q82" s="832" t="s">
        <v>3783</v>
      </c>
      <c r="R82" s="833"/>
      <c r="S82" s="869">
        <v>76</v>
      </c>
      <c r="T82" s="870">
        <v>25.712439873130752</v>
      </c>
      <c r="U82" s="870">
        <v>10.798316702492045</v>
      </c>
      <c r="V82" s="870">
        <v>7.25</v>
      </c>
      <c r="W82" s="870">
        <v>0.14385548487433275</v>
      </c>
    </row>
    <row r="83" spans="1:23">
      <c r="A83" s="840">
        <v>1027</v>
      </c>
      <c r="B83" s="841" t="s">
        <v>1190</v>
      </c>
      <c r="C83" s="842">
        <v>41</v>
      </c>
      <c r="D83" s="843">
        <v>42</v>
      </c>
      <c r="E83" s="843">
        <v>43</v>
      </c>
      <c r="F83" s="831">
        <v>911</v>
      </c>
      <c r="G83" s="831">
        <v>911</v>
      </c>
      <c r="H83" s="831">
        <v>451</v>
      </c>
      <c r="I83" s="844">
        <v>88.2</v>
      </c>
      <c r="J83" s="844">
        <v>88.2</v>
      </c>
      <c r="K83" s="844">
        <v>44.1</v>
      </c>
      <c r="L83" s="831">
        <v>165</v>
      </c>
      <c r="M83" s="831">
        <v>0.25</v>
      </c>
      <c r="N83" s="831"/>
      <c r="O83" s="832">
        <v>1</v>
      </c>
      <c r="P83" s="831" t="s">
        <v>1191</v>
      </c>
      <c r="Q83" s="832" t="s">
        <v>872</v>
      </c>
      <c r="R83" s="833"/>
      <c r="S83" s="869">
        <v>77</v>
      </c>
      <c r="T83" s="870">
        <v>37.399912542735628</v>
      </c>
      <c r="U83" s="870">
        <v>7.8653937905342293</v>
      </c>
      <c r="V83" s="870">
        <v>5.21</v>
      </c>
      <c r="W83" s="870">
        <v>7.5450000000000003E-2</v>
      </c>
    </row>
    <row r="84" spans="1:23">
      <c r="A84" s="840">
        <v>1028</v>
      </c>
      <c r="B84" s="841" t="s">
        <v>2541</v>
      </c>
      <c r="C84" s="842">
        <v>44</v>
      </c>
      <c r="D84" s="843">
        <v>45</v>
      </c>
      <c r="E84" s="843">
        <v>46</v>
      </c>
      <c r="F84" s="831">
        <v>1274</v>
      </c>
      <c r="G84" s="831">
        <v>1274</v>
      </c>
      <c r="H84" s="831">
        <v>686</v>
      </c>
      <c r="I84" s="844">
        <v>117.6</v>
      </c>
      <c r="J84" s="844">
        <v>117.6</v>
      </c>
      <c r="K84" s="844">
        <v>58.8</v>
      </c>
      <c r="L84" s="831">
        <v>200</v>
      </c>
      <c r="M84" s="831">
        <v>0.27500000000000002</v>
      </c>
      <c r="N84" s="831"/>
      <c r="O84" s="832">
        <v>1</v>
      </c>
      <c r="P84" s="831" t="s">
        <v>2035</v>
      </c>
      <c r="Q84" s="832" t="s">
        <v>872</v>
      </c>
      <c r="R84" s="833"/>
      <c r="S84" s="869">
        <v>101</v>
      </c>
      <c r="T84" s="831">
        <v>5.67</v>
      </c>
      <c r="U84" s="831">
        <v>1366</v>
      </c>
      <c r="V84" s="831">
        <v>921</v>
      </c>
      <c r="W84" s="831">
        <v>134</v>
      </c>
    </row>
    <row r="85" spans="1:23">
      <c r="A85" s="840">
        <v>1029</v>
      </c>
      <c r="B85" s="841" t="s">
        <v>859</v>
      </c>
      <c r="C85" s="842">
        <v>38</v>
      </c>
      <c r="D85" s="843">
        <v>39</v>
      </c>
      <c r="E85" s="843">
        <v>40</v>
      </c>
      <c r="F85" s="831">
        <v>686</v>
      </c>
      <c r="G85" s="831">
        <v>686</v>
      </c>
      <c r="H85" s="831">
        <v>343</v>
      </c>
      <c r="I85" s="844">
        <v>40.9</v>
      </c>
      <c r="J85" s="844">
        <v>40.9</v>
      </c>
      <c r="K85" s="844">
        <v>10.199999999999999</v>
      </c>
      <c r="L85" s="831">
        <v>130</v>
      </c>
      <c r="M85" s="831">
        <v>0.25</v>
      </c>
      <c r="N85" s="831"/>
      <c r="O85" s="832">
        <v>1</v>
      </c>
      <c r="P85" s="831" t="s">
        <v>1285</v>
      </c>
      <c r="Q85" s="832" t="s">
        <v>872</v>
      </c>
      <c r="R85" s="833"/>
      <c r="S85" s="869">
        <v>102</v>
      </c>
      <c r="T85" s="831">
        <v>3.91</v>
      </c>
      <c r="U85" s="831">
        <v>1228</v>
      </c>
      <c r="V85" s="831">
        <v>921</v>
      </c>
      <c r="W85" s="831">
        <v>144</v>
      </c>
    </row>
    <row r="86" spans="1:23">
      <c r="A86" s="840">
        <v>1030</v>
      </c>
      <c r="B86" s="841" t="s">
        <v>2126</v>
      </c>
      <c r="C86" s="842">
        <v>41</v>
      </c>
      <c r="D86" s="843">
        <v>42</v>
      </c>
      <c r="E86" s="843">
        <v>43</v>
      </c>
      <c r="F86" s="831">
        <v>911</v>
      </c>
      <c r="G86" s="831">
        <v>911</v>
      </c>
      <c r="H86" s="831">
        <v>451</v>
      </c>
      <c r="I86" s="844">
        <v>88.2</v>
      </c>
      <c r="J86" s="844">
        <v>88.2</v>
      </c>
      <c r="K86" s="844">
        <v>44.1</v>
      </c>
      <c r="L86" s="831">
        <v>165</v>
      </c>
      <c r="M86" s="831">
        <v>0.25</v>
      </c>
      <c r="N86" s="831"/>
      <c r="O86" s="832">
        <v>1</v>
      </c>
      <c r="P86" s="831" t="s">
        <v>3036</v>
      </c>
      <c r="Q86" s="832" t="s">
        <v>872</v>
      </c>
      <c r="R86" s="833"/>
      <c r="S86" s="869">
        <v>103</v>
      </c>
      <c r="T86" s="831">
        <v>4.2</v>
      </c>
      <c r="U86" s="831">
        <v>630</v>
      </c>
      <c r="V86" s="831">
        <v>461</v>
      </c>
      <c r="W86" s="831">
        <v>63</v>
      </c>
    </row>
    <row r="87" spans="1:23">
      <c r="A87" s="840">
        <v>1031</v>
      </c>
      <c r="B87" s="841" t="s">
        <v>3234</v>
      </c>
      <c r="C87" s="842">
        <v>47</v>
      </c>
      <c r="D87" s="843">
        <v>48</v>
      </c>
      <c r="E87" s="843">
        <v>49</v>
      </c>
      <c r="F87" s="831">
        <v>588</v>
      </c>
      <c r="G87" s="831">
        <v>588</v>
      </c>
      <c r="H87" s="831">
        <v>343</v>
      </c>
      <c r="I87" s="844">
        <v>58.8</v>
      </c>
      <c r="J87" s="844">
        <v>58.8</v>
      </c>
      <c r="K87" s="844">
        <v>19.600000000000001</v>
      </c>
      <c r="L87" s="831">
        <v>80</v>
      </c>
      <c r="M87" s="831">
        <v>0.25</v>
      </c>
      <c r="N87" s="831"/>
      <c r="O87" s="832">
        <v>1</v>
      </c>
      <c r="P87" s="831" t="s">
        <v>3235</v>
      </c>
      <c r="Q87" s="832" t="s">
        <v>872</v>
      </c>
      <c r="R87" s="833"/>
      <c r="S87" s="869">
        <v>104</v>
      </c>
      <c r="T87" s="831">
        <v>4.08</v>
      </c>
      <c r="U87" s="831">
        <v>1754</v>
      </c>
      <c r="V87" s="831">
        <v>1274</v>
      </c>
      <c r="W87" s="831">
        <v>190</v>
      </c>
    </row>
    <row r="88" spans="1:23">
      <c r="A88" s="840">
        <v>1032</v>
      </c>
      <c r="B88" s="841" t="s">
        <v>3473</v>
      </c>
      <c r="C88" s="842">
        <v>50</v>
      </c>
      <c r="D88" s="843">
        <v>51</v>
      </c>
      <c r="E88" s="843">
        <v>52</v>
      </c>
      <c r="F88" s="831">
        <v>588</v>
      </c>
      <c r="G88" s="831">
        <v>588</v>
      </c>
      <c r="H88" s="831">
        <v>343</v>
      </c>
      <c r="I88" s="844">
        <v>58.8</v>
      </c>
      <c r="J88" s="844">
        <v>58.8</v>
      </c>
      <c r="K88" s="844">
        <v>22.5</v>
      </c>
      <c r="L88" s="831">
        <v>125</v>
      </c>
      <c r="M88" s="831">
        <v>0.25</v>
      </c>
      <c r="N88" s="831"/>
      <c r="O88" s="832">
        <v>1</v>
      </c>
      <c r="P88" s="831" t="s">
        <v>3152</v>
      </c>
      <c r="Q88" s="832" t="s">
        <v>872</v>
      </c>
      <c r="R88" s="833"/>
      <c r="S88" s="869">
        <v>105</v>
      </c>
      <c r="T88" s="831">
        <v>2.78</v>
      </c>
      <c r="U88" s="831">
        <v>1601</v>
      </c>
      <c r="V88" s="831">
        <v>1274</v>
      </c>
      <c r="W88" s="831">
        <v>215</v>
      </c>
    </row>
    <row r="89" spans="1:23">
      <c r="A89" s="840">
        <v>1033</v>
      </c>
      <c r="B89" s="841" t="s">
        <v>1651</v>
      </c>
      <c r="C89" s="842">
        <v>53</v>
      </c>
      <c r="D89" s="843">
        <v>54</v>
      </c>
      <c r="E89" s="843">
        <v>55</v>
      </c>
      <c r="F89" s="831">
        <v>686</v>
      </c>
      <c r="G89" s="831">
        <v>686</v>
      </c>
      <c r="H89" s="831">
        <v>343</v>
      </c>
      <c r="I89" s="844">
        <v>40.9</v>
      </c>
      <c r="J89" s="844">
        <v>40.9</v>
      </c>
      <c r="K89" s="844">
        <v>10.199999999999999</v>
      </c>
      <c r="L89" s="831">
        <v>130</v>
      </c>
      <c r="M89" s="831">
        <v>0.27500000000000002</v>
      </c>
      <c r="N89" s="831"/>
      <c r="O89" s="832">
        <v>1</v>
      </c>
      <c r="P89" s="831" t="s">
        <v>2304</v>
      </c>
      <c r="Q89" s="832" t="s">
        <v>872</v>
      </c>
      <c r="R89" s="833"/>
      <c r="S89" s="869">
        <v>106</v>
      </c>
      <c r="T89" s="831">
        <v>2.94</v>
      </c>
      <c r="U89" s="831">
        <v>859</v>
      </c>
      <c r="V89" s="831">
        <v>686</v>
      </c>
      <c r="W89" s="831">
        <v>103</v>
      </c>
    </row>
    <row r="90" spans="1:23">
      <c r="A90" s="840">
        <v>1034</v>
      </c>
      <c r="B90" s="841" t="s">
        <v>1980</v>
      </c>
      <c r="C90" s="842">
        <v>41</v>
      </c>
      <c r="D90" s="843">
        <v>42</v>
      </c>
      <c r="E90" s="843">
        <v>43</v>
      </c>
      <c r="F90" s="831">
        <v>911</v>
      </c>
      <c r="G90" s="831">
        <v>911</v>
      </c>
      <c r="H90" s="831">
        <v>451</v>
      </c>
      <c r="I90" s="844">
        <v>88.2</v>
      </c>
      <c r="J90" s="844">
        <v>88.2</v>
      </c>
      <c r="K90" s="844">
        <v>44.1</v>
      </c>
      <c r="L90" s="831">
        <v>165</v>
      </c>
      <c r="M90" s="831">
        <v>0.25</v>
      </c>
      <c r="N90" s="831"/>
      <c r="O90" s="832">
        <v>1</v>
      </c>
      <c r="P90" s="831" t="s">
        <v>1536</v>
      </c>
      <c r="Q90" s="832" t="s">
        <v>872</v>
      </c>
      <c r="R90" s="833"/>
      <c r="S90" s="869">
        <v>107</v>
      </c>
      <c r="T90" s="831">
        <v>14.96</v>
      </c>
      <c r="U90" s="831">
        <v>337.97</v>
      </c>
      <c r="V90" s="831">
        <v>176.4</v>
      </c>
      <c r="W90" s="831">
        <v>10.9</v>
      </c>
    </row>
    <row r="91" spans="1:23">
      <c r="A91" s="840">
        <v>1035</v>
      </c>
      <c r="B91" s="841" t="s">
        <v>743</v>
      </c>
      <c r="C91" s="842">
        <v>41</v>
      </c>
      <c r="D91" s="843">
        <v>42</v>
      </c>
      <c r="E91" s="843">
        <v>43</v>
      </c>
      <c r="F91" s="831">
        <v>911</v>
      </c>
      <c r="G91" s="831">
        <v>911</v>
      </c>
      <c r="H91" s="831">
        <v>451</v>
      </c>
      <c r="I91" s="844">
        <v>88.2</v>
      </c>
      <c r="J91" s="844">
        <v>88.2</v>
      </c>
      <c r="K91" s="844">
        <v>44.1</v>
      </c>
      <c r="L91" s="831">
        <v>165</v>
      </c>
      <c r="M91" s="831">
        <v>0.25</v>
      </c>
      <c r="N91" s="831"/>
      <c r="O91" s="832">
        <v>1</v>
      </c>
      <c r="P91" s="831" t="s">
        <v>157</v>
      </c>
      <c r="Q91" s="832" t="s">
        <v>872</v>
      </c>
      <c r="R91" s="833"/>
      <c r="S91" s="869">
        <v>108</v>
      </c>
      <c r="T91" s="831">
        <v>14.96</v>
      </c>
      <c r="U91" s="831">
        <v>337.97</v>
      </c>
      <c r="V91" s="831">
        <v>176.4</v>
      </c>
      <c r="W91" s="831">
        <v>10.9</v>
      </c>
    </row>
    <row r="92" spans="1:23">
      <c r="A92" s="840">
        <v>1036</v>
      </c>
      <c r="B92" s="841" t="s">
        <v>2733</v>
      </c>
      <c r="C92" s="842">
        <v>56</v>
      </c>
      <c r="D92" s="843">
        <v>57</v>
      </c>
      <c r="E92" s="843">
        <v>58</v>
      </c>
      <c r="F92" s="831">
        <v>1372</v>
      </c>
      <c r="G92" s="831">
        <v>1372</v>
      </c>
      <c r="H92" s="831">
        <v>686</v>
      </c>
      <c r="I92" s="844">
        <v>117.6</v>
      </c>
      <c r="J92" s="844">
        <v>117.6</v>
      </c>
      <c r="K92" s="844">
        <v>58.8</v>
      </c>
      <c r="L92" s="831">
        <v>400</v>
      </c>
      <c r="M92" s="831">
        <v>0.27500000000000002</v>
      </c>
      <c r="N92" s="831"/>
      <c r="O92" s="832">
        <v>1</v>
      </c>
      <c r="P92" s="831" t="s">
        <v>2734</v>
      </c>
      <c r="Q92" s="832" t="s">
        <v>872</v>
      </c>
      <c r="R92" s="833"/>
      <c r="S92" s="869">
        <v>109</v>
      </c>
      <c r="T92" s="831">
        <v>21.19</v>
      </c>
      <c r="U92" s="831">
        <v>168.64</v>
      </c>
      <c r="V92" s="831">
        <v>98</v>
      </c>
      <c r="W92" s="831">
        <v>4.16</v>
      </c>
    </row>
    <row r="93" spans="1:23">
      <c r="A93" s="840">
        <v>1037</v>
      </c>
      <c r="B93" s="841" t="s">
        <v>746</v>
      </c>
      <c r="C93" s="842">
        <v>62</v>
      </c>
      <c r="D93" s="843">
        <v>63</v>
      </c>
      <c r="E93" s="843">
        <v>64</v>
      </c>
      <c r="F93" s="831">
        <v>1274</v>
      </c>
      <c r="G93" s="831">
        <v>1274</v>
      </c>
      <c r="H93" s="831">
        <v>686</v>
      </c>
      <c r="I93" s="844">
        <v>117.6</v>
      </c>
      <c r="J93" s="844">
        <v>117.6</v>
      </c>
      <c r="K93" s="844">
        <v>58.8</v>
      </c>
      <c r="L93" s="831">
        <v>220</v>
      </c>
      <c r="M93" s="831">
        <v>0.27500000000000002</v>
      </c>
      <c r="N93" s="831"/>
      <c r="O93" s="832">
        <v>1</v>
      </c>
      <c r="P93" s="831" t="s">
        <v>747</v>
      </c>
      <c r="Q93" s="832" t="s">
        <v>872</v>
      </c>
      <c r="R93" s="833"/>
      <c r="S93" s="869">
        <v>110</v>
      </c>
      <c r="T93" s="831">
        <v>14.96</v>
      </c>
      <c r="U93" s="831">
        <v>337.97</v>
      </c>
      <c r="V93" s="831">
        <v>176.4</v>
      </c>
      <c r="W93" s="831">
        <v>10.9</v>
      </c>
    </row>
    <row r="94" spans="1:23">
      <c r="A94" s="840">
        <v>1038</v>
      </c>
      <c r="B94" s="841" t="s">
        <v>3207</v>
      </c>
      <c r="C94" s="842">
        <v>59</v>
      </c>
      <c r="D94" s="843">
        <v>60</v>
      </c>
      <c r="E94" s="843">
        <v>61</v>
      </c>
      <c r="F94" s="831">
        <v>1176</v>
      </c>
      <c r="G94" s="831">
        <v>1176</v>
      </c>
      <c r="H94" s="831">
        <v>637</v>
      </c>
      <c r="I94" s="844">
        <v>117.6</v>
      </c>
      <c r="J94" s="844">
        <v>117.6</v>
      </c>
      <c r="K94" s="844">
        <v>29.4</v>
      </c>
      <c r="L94" s="831">
        <v>200</v>
      </c>
      <c r="M94" s="831">
        <v>0.27500000000000002</v>
      </c>
      <c r="N94" s="831"/>
      <c r="O94" s="832">
        <v>1</v>
      </c>
      <c r="P94" s="831" t="s">
        <v>1013</v>
      </c>
      <c r="Q94" s="832" t="s">
        <v>872</v>
      </c>
      <c r="R94" s="833"/>
      <c r="S94" s="869">
        <v>111</v>
      </c>
      <c r="T94" s="831">
        <v>14.96</v>
      </c>
      <c r="U94" s="831">
        <v>337.97</v>
      </c>
      <c r="V94" s="831">
        <v>176.4</v>
      </c>
      <c r="W94" s="831">
        <v>10.9</v>
      </c>
    </row>
    <row r="95" spans="1:23">
      <c r="A95" s="840">
        <v>1101</v>
      </c>
      <c r="B95" s="841" t="s">
        <v>1014</v>
      </c>
      <c r="C95" s="842">
        <v>101</v>
      </c>
      <c r="D95" s="843">
        <v>102</v>
      </c>
      <c r="E95" s="843">
        <v>103</v>
      </c>
      <c r="F95" s="831">
        <v>921</v>
      </c>
      <c r="G95" s="831">
        <v>921</v>
      </c>
      <c r="H95" s="831">
        <v>461</v>
      </c>
      <c r="I95" s="848">
        <v>78.400000000000006</v>
      </c>
      <c r="J95" s="848">
        <v>78.400000000000006</v>
      </c>
      <c r="K95" s="848">
        <v>40.200000000000003</v>
      </c>
      <c r="L95" s="831">
        <v>165</v>
      </c>
      <c r="M95" s="831">
        <v>0.23799999999999999</v>
      </c>
      <c r="N95" s="831"/>
      <c r="O95" s="832">
        <v>1</v>
      </c>
      <c r="P95" s="831" t="s">
        <v>2618</v>
      </c>
      <c r="Q95" s="832" t="s">
        <v>872</v>
      </c>
      <c r="R95" s="833"/>
      <c r="S95" s="869">
        <v>112</v>
      </c>
      <c r="T95" s="831">
        <v>21.19</v>
      </c>
      <c r="U95" s="831">
        <v>168.64</v>
      </c>
      <c r="V95" s="831">
        <v>98</v>
      </c>
      <c r="W95" s="831">
        <v>4.6900000000000004</v>
      </c>
    </row>
    <row r="96" spans="1:23">
      <c r="A96" s="840">
        <v>1102</v>
      </c>
      <c r="B96" s="841" t="s">
        <v>240</v>
      </c>
      <c r="C96" s="842">
        <v>104</v>
      </c>
      <c r="D96" s="843">
        <v>105</v>
      </c>
      <c r="E96" s="843">
        <v>106</v>
      </c>
      <c r="F96" s="831">
        <v>1274</v>
      </c>
      <c r="G96" s="831">
        <v>1274</v>
      </c>
      <c r="H96" s="831">
        <v>686</v>
      </c>
      <c r="I96" s="848">
        <v>117.6</v>
      </c>
      <c r="J96" s="848">
        <v>117.6</v>
      </c>
      <c r="K96" s="848">
        <v>58.8</v>
      </c>
      <c r="L96" s="831">
        <v>200</v>
      </c>
      <c r="M96" s="831">
        <v>0.27500000000000002</v>
      </c>
      <c r="N96" s="831"/>
      <c r="O96" s="832">
        <v>1</v>
      </c>
      <c r="P96" s="831" t="s">
        <v>3056</v>
      </c>
      <c r="Q96" s="832" t="s">
        <v>872</v>
      </c>
      <c r="R96" s="833"/>
      <c r="S96" s="869">
        <v>113</v>
      </c>
      <c r="T96" s="831">
        <v>5.67</v>
      </c>
      <c r="U96" s="831">
        <v>1412</v>
      </c>
      <c r="V96" s="831">
        <v>911</v>
      </c>
      <c r="W96" s="831">
        <v>104</v>
      </c>
    </row>
    <row r="97" spans="1:23">
      <c r="A97" s="840">
        <v>1105</v>
      </c>
      <c r="B97" s="841" t="s">
        <v>3616</v>
      </c>
      <c r="C97" s="842">
        <v>113</v>
      </c>
      <c r="D97" s="843">
        <v>114</v>
      </c>
      <c r="E97" s="843">
        <v>115</v>
      </c>
      <c r="F97" s="831">
        <v>911</v>
      </c>
      <c r="G97" s="831">
        <v>911</v>
      </c>
      <c r="H97" s="831">
        <v>451</v>
      </c>
      <c r="I97" s="848">
        <v>88.2</v>
      </c>
      <c r="J97" s="848">
        <v>88.2</v>
      </c>
      <c r="K97" s="848">
        <v>44.1</v>
      </c>
      <c r="L97" s="831">
        <v>165</v>
      </c>
      <c r="M97" s="831">
        <v>0.25</v>
      </c>
      <c r="N97" s="831"/>
      <c r="O97" s="832">
        <v>1</v>
      </c>
      <c r="P97" s="831" t="s">
        <v>3673</v>
      </c>
      <c r="Q97" s="832" t="s">
        <v>872</v>
      </c>
      <c r="R97" s="833"/>
      <c r="S97" s="869">
        <v>114</v>
      </c>
      <c r="T97" s="831">
        <v>3.91</v>
      </c>
      <c r="U97" s="831">
        <v>1256</v>
      </c>
      <c r="V97" s="831">
        <v>911</v>
      </c>
      <c r="W97" s="831">
        <v>100</v>
      </c>
    </row>
    <row r="98" spans="1:23">
      <c r="A98" s="840">
        <v>1109</v>
      </c>
      <c r="B98" s="841" t="s">
        <v>3674</v>
      </c>
      <c r="C98" s="842">
        <v>101</v>
      </c>
      <c r="D98" s="843">
        <v>102</v>
      </c>
      <c r="E98" s="843">
        <v>103</v>
      </c>
      <c r="F98" s="831">
        <v>921</v>
      </c>
      <c r="G98" s="831">
        <v>921</v>
      </c>
      <c r="H98" s="831">
        <v>461</v>
      </c>
      <c r="I98" s="848">
        <v>78.400000000000006</v>
      </c>
      <c r="J98" s="848">
        <v>78.400000000000006</v>
      </c>
      <c r="K98" s="848">
        <v>40.200000000000003</v>
      </c>
      <c r="L98" s="831">
        <v>165</v>
      </c>
      <c r="M98" s="831">
        <v>0.23799999999999999</v>
      </c>
      <c r="N98" s="831"/>
      <c r="O98" s="832">
        <v>1</v>
      </c>
      <c r="P98" s="831" t="s">
        <v>3034</v>
      </c>
      <c r="Q98" s="832" t="s">
        <v>872</v>
      </c>
      <c r="R98" s="833"/>
      <c r="S98" s="869">
        <v>115</v>
      </c>
      <c r="T98" s="831">
        <v>4.26</v>
      </c>
      <c r="U98" s="831">
        <v>639</v>
      </c>
      <c r="V98" s="831">
        <v>451</v>
      </c>
      <c r="W98" s="831">
        <v>44.1</v>
      </c>
    </row>
    <row r="99" spans="1:23">
      <c r="A99" s="840">
        <v>1110</v>
      </c>
      <c r="B99" s="841" t="s">
        <v>772</v>
      </c>
      <c r="C99" s="842">
        <v>104</v>
      </c>
      <c r="D99" s="843">
        <v>105</v>
      </c>
      <c r="E99" s="843">
        <v>106</v>
      </c>
      <c r="F99" s="831">
        <v>1274</v>
      </c>
      <c r="G99" s="831">
        <v>1274</v>
      </c>
      <c r="H99" s="831">
        <v>686</v>
      </c>
      <c r="I99" s="848">
        <v>117.6</v>
      </c>
      <c r="J99" s="848">
        <v>117.6</v>
      </c>
      <c r="K99" s="848">
        <v>58.8</v>
      </c>
      <c r="L99" s="831">
        <v>200</v>
      </c>
      <c r="M99" s="831">
        <v>0.27500000000000002</v>
      </c>
      <c r="N99" s="831"/>
      <c r="O99" s="832">
        <v>1</v>
      </c>
      <c r="P99" s="831" t="s">
        <v>773</v>
      </c>
      <c r="Q99" s="832" t="s">
        <v>872</v>
      </c>
      <c r="R99" s="833"/>
      <c r="S99" s="869">
        <v>116</v>
      </c>
      <c r="T99" s="831">
        <v>2.1800000000000002</v>
      </c>
      <c r="U99" s="831">
        <v>1629</v>
      </c>
      <c r="V99" s="831">
        <v>1372</v>
      </c>
      <c r="W99" s="831">
        <v>349</v>
      </c>
    </row>
    <row r="100" spans="1:23">
      <c r="A100" s="840">
        <v>1111</v>
      </c>
      <c r="B100" s="841" t="s">
        <v>1662</v>
      </c>
      <c r="C100" s="842">
        <v>125</v>
      </c>
      <c r="D100" s="843">
        <v>126</v>
      </c>
      <c r="E100" s="843">
        <v>127</v>
      </c>
      <c r="F100" s="831">
        <v>588</v>
      </c>
      <c r="G100" s="831">
        <v>588</v>
      </c>
      <c r="H100" s="831">
        <v>343</v>
      </c>
      <c r="I100" s="848">
        <v>58.8</v>
      </c>
      <c r="J100" s="848">
        <v>58.8</v>
      </c>
      <c r="K100" s="848">
        <v>22.5</v>
      </c>
      <c r="L100" s="831">
        <v>125</v>
      </c>
      <c r="M100" s="831">
        <v>0.23799999999999999</v>
      </c>
      <c r="N100" s="831"/>
      <c r="O100" s="832">
        <v>1</v>
      </c>
      <c r="P100" s="831" t="s">
        <v>2049</v>
      </c>
      <c r="Q100" s="832" t="s">
        <v>872</v>
      </c>
      <c r="R100" s="833"/>
      <c r="S100" s="869">
        <v>117</v>
      </c>
      <c r="T100" s="831">
        <v>2.1800000000000002</v>
      </c>
      <c r="U100" s="831">
        <v>1629</v>
      </c>
      <c r="V100" s="831">
        <v>1372</v>
      </c>
      <c r="W100" s="831">
        <v>369</v>
      </c>
    </row>
    <row r="101" spans="1:23">
      <c r="A101" s="840">
        <v>1120</v>
      </c>
      <c r="B101" s="841" t="s">
        <v>2958</v>
      </c>
      <c r="C101" s="842">
        <v>104</v>
      </c>
      <c r="D101" s="843">
        <v>105</v>
      </c>
      <c r="E101" s="843">
        <v>106</v>
      </c>
      <c r="F101" s="831">
        <v>1274</v>
      </c>
      <c r="G101" s="831">
        <v>1274</v>
      </c>
      <c r="H101" s="831">
        <v>686</v>
      </c>
      <c r="I101" s="848">
        <v>117.6</v>
      </c>
      <c r="J101" s="848">
        <v>117.6</v>
      </c>
      <c r="K101" s="848">
        <v>58.8</v>
      </c>
      <c r="L101" s="831">
        <v>200</v>
      </c>
      <c r="M101" s="831">
        <v>0.27500000000000002</v>
      </c>
      <c r="N101" s="831"/>
      <c r="O101" s="832">
        <v>1</v>
      </c>
      <c r="P101" s="831" t="s">
        <v>2287</v>
      </c>
      <c r="Q101" s="832" t="s">
        <v>872</v>
      </c>
      <c r="R101" s="833"/>
      <c r="S101" s="869">
        <v>118</v>
      </c>
      <c r="T101" s="831">
        <v>3.49</v>
      </c>
      <c r="U101" s="831">
        <v>891</v>
      </c>
      <c r="V101" s="831">
        <v>686</v>
      </c>
      <c r="W101" s="831">
        <v>123</v>
      </c>
    </row>
    <row r="102" spans="1:23">
      <c r="A102" s="840">
        <v>1203</v>
      </c>
      <c r="B102" s="841" t="s">
        <v>1546</v>
      </c>
      <c r="C102" s="842">
        <v>207</v>
      </c>
      <c r="D102" s="843">
        <v>208</v>
      </c>
      <c r="E102" s="843">
        <v>209</v>
      </c>
      <c r="F102" s="831">
        <v>1333</v>
      </c>
      <c r="G102" s="831">
        <v>1333</v>
      </c>
      <c r="H102" s="831">
        <v>706</v>
      </c>
      <c r="I102" s="844">
        <v>141.1</v>
      </c>
      <c r="J102" s="844">
        <v>141.1</v>
      </c>
      <c r="K102" s="848">
        <v>78.400000000000006</v>
      </c>
      <c r="L102" s="831">
        <v>210</v>
      </c>
      <c r="M102" s="831">
        <v>0.25800000000000001</v>
      </c>
      <c r="N102" s="831"/>
      <c r="O102" s="832">
        <v>1</v>
      </c>
      <c r="P102" s="831" t="s">
        <v>2807</v>
      </c>
      <c r="Q102" s="832" t="s">
        <v>872</v>
      </c>
      <c r="R102" s="833"/>
      <c r="S102" s="869">
        <v>119</v>
      </c>
      <c r="T102" s="831">
        <v>3.84</v>
      </c>
      <c r="U102" s="831">
        <v>1726</v>
      </c>
      <c r="V102" s="831">
        <v>1274</v>
      </c>
      <c r="W102" s="831">
        <v>296</v>
      </c>
    </row>
    <row r="103" spans="1:23">
      <c r="A103" s="840">
        <v>1204</v>
      </c>
      <c r="B103" s="841" t="s">
        <v>2808</v>
      </c>
      <c r="C103" s="842">
        <v>210</v>
      </c>
      <c r="D103" s="843">
        <v>211</v>
      </c>
      <c r="E103" s="843">
        <v>212</v>
      </c>
      <c r="F103" s="831">
        <v>1333</v>
      </c>
      <c r="G103" s="831">
        <v>1333</v>
      </c>
      <c r="H103" s="831">
        <v>706</v>
      </c>
      <c r="I103" s="844">
        <v>215.6</v>
      </c>
      <c r="J103" s="844">
        <v>215.6</v>
      </c>
      <c r="K103" s="844">
        <v>196</v>
      </c>
      <c r="L103" s="831">
        <v>210</v>
      </c>
      <c r="M103" s="831">
        <v>0.25800000000000001</v>
      </c>
      <c r="N103" s="831"/>
      <c r="O103" s="832">
        <v>1</v>
      </c>
      <c r="P103" s="831" t="s">
        <v>3035</v>
      </c>
      <c r="Q103" s="832" t="s">
        <v>872</v>
      </c>
      <c r="R103" s="833"/>
      <c r="S103" s="869">
        <v>120</v>
      </c>
      <c r="T103" s="831">
        <v>3.2</v>
      </c>
      <c r="U103" s="831">
        <v>1650</v>
      </c>
      <c r="V103" s="831">
        <v>1274</v>
      </c>
      <c r="W103" s="831">
        <v>318</v>
      </c>
    </row>
    <row r="104" spans="1:23">
      <c r="A104" s="840">
        <v>1205</v>
      </c>
      <c r="B104" s="841" t="s">
        <v>3622</v>
      </c>
      <c r="C104" s="842">
        <v>213</v>
      </c>
      <c r="D104" s="843">
        <v>214</v>
      </c>
      <c r="E104" s="843">
        <v>215</v>
      </c>
      <c r="F104" s="831">
        <v>980</v>
      </c>
      <c r="G104" s="831">
        <v>980</v>
      </c>
      <c r="H104" s="831">
        <v>706</v>
      </c>
      <c r="I104" s="844">
        <v>225.4</v>
      </c>
      <c r="J104" s="844">
        <v>225.4</v>
      </c>
      <c r="K104" s="844">
        <v>196</v>
      </c>
      <c r="L104" s="831">
        <v>100</v>
      </c>
      <c r="M104" s="831">
        <v>0.25800000000000001</v>
      </c>
      <c r="N104" s="831"/>
      <c r="O104" s="832">
        <v>1</v>
      </c>
      <c r="P104" s="831" t="s">
        <v>3540</v>
      </c>
      <c r="Q104" s="832" t="s">
        <v>872</v>
      </c>
      <c r="R104" s="833"/>
      <c r="S104" s="869">
        <v>121</v>
      </c>
      <c r="T104" s="831">
        <v>4.1100000000000003</v>
      </c>
      <c r="U104" s="831">
        <v>928</v>
      </c>
      <c r="V104" s="831">
        <v>686</v>
      </c>
      <c r="W104" s="831">
        <v>123</v>
      </c>
    </row>
    <row r="105" spans="1:23">
      <c r="A105" s="840">
        <v>1211</v>
      </c>
      <c r="B105" s="841" t="s">
        <v>2559</v>
      </c>
      <c r="C105" s="842">
        <v>221</v>
      </c>
      <c r="D105" s="843">
        <v>222</v>
      </c>
      <c r="E105" s="843">
        <v>223</v>
      </c>
      <c r="F105" s="831">
        <v>1960</v>
      </c>
      <c r="G105" s="831">
        <v>1960</v>
      </c>
      <c r="H105" s="854">
        <v>892</v>
      </c>
      <c r="I105" s="844">
        <v>235</v>
      </c>
      <c r="J105" s="844">
        <v>235</v>
      </c>
      <c r="K105" s="848">
        <v>157</v>
      </c>
      <c r="L105" s="831">
        <v>350</v>
      </c>
      <c r="M105" s="831">
        <v>0.29499999999999998</v>
      </c>
      <c r="N105" s="831"/>
      <c r="O105" s="832">
        <v>1</v>
      </c>
      <c r="P105" s="831" t="s">
        <v>1990</v>
      </c>
      <c r="Q105" s="832" t="s">
        <v>872</v>
      </c>
      <c r="R105" s="833"/>
      <c r="S105" s="869">
        <v>122</v>
      </c>
      <c r="T105" s="831">
        <v>4.01</v>
      </c>
      <c r="U105" s="831">
        <v>1648</v>
      </c>
      <c r="V105" s="831">
        <v>1176</v>
      </c>
      <c r="W105" s="831">
        <v>265</v>
      </c>
    </row>
    <row r="106" spans="1:23">
      <c r="A106" s="840">
        <v>1212</v>
      </c>
      <c r="B106" s="841" t="s">
        <v>681</v>
      </c>
      <c r="C106" s="842">
        <v>224</v>
      </c>
      <c r="D106" s="843">
        <v>225</v>
      </c>
      <c r="E106" s="843">
        <v>226</v>
      </c>
      <c r="F106" s="831">
        <v>3381</v>
      </c>
      <c r="G106" s="831">
        <v>3381</v>
      </c>
      <c r="H106" s="854">
        <v>1725</v>
      </c>
      <c r="I106" s="844">
        <v>510</v>
      </c>
      <c r="J106" s="844">
        <v>510</v>
      </c>
      <c r="K106" s="848">
        <v>320</v>
      </c>
      <c r="L106" s="831">
        <v>600</v>
      </c>
      <c r="M106" s="831">
        <v>0.32500000000000001</v>
      </c>
      <c r="N106" s="831"/>
      <c r="O106" s="832">
        <v>6</v>
      </c>
      <c r="P106" s="831" t="s">
        <v>2325</v>
      </c>
      <c r="Q106" s="832" t="s">
        <v>872</v>
      </c>
      <c r="R106" s="833"/>
      <c r="S106" s="869">
        <v>123</v>
      </c>
      <c r="T106" s="831">
        <v>2.87</v>
      </c>
      <c r="U106" s="831">
        <v>1513</v>
      </c>
      <c r="V106" s="831">
        <v>1176</v>
      </c>
      <c r="W106" s="831">
        <v>272</v>
      </c>
    </row>
    <row r="107" spans="1:23">
      <c r="A107" s="840">
        <v>1213</v>
      </c>
      <c r="B107" s="841" t="s">
        <v>1677</v>
      </c>
      <c r="C107" s="842">
        <v>244</v>
      </c>
      <c r="D107" s="842">
        <v>245</v>
      </c>
      <c r="E107" s="842">
        <v>246</v>
      </c>
      <c r="F107" s="831">
        <v>1960</v>
      </c>
      <c r="G107" s="831">
        <v>1960</v>
      </c>
      <c r="H107" s="854">
        <v>892</v>
      </c>
      <c r="I107" s="844">
        <v>392</v>
      </c>
      <c r="J107" s="844">
        <v>392</v>
      </c>
      <c r="K107" s="848">
        <v>352.8</v>
      </c>
      <c r="L107" s="831">
        <v>350</v>
      </c>
      <c r="M107" s="831">
        <v>0.29499999999999998</v>
      </c>
      <c r="N107" s="831"/>
      <c r="O107" s="832">
        <v>1</v>
      </c>
      <c r="P107" s="831" t="s">
        <v>1083</v>
      </c>
      <c r="Q107" s="832" t="s">
        <v>872</v>
      </c>
      <c r="R107" s="833"/>
      <c r="S107" s="869">
        <v>124</v>
      </c>
      <c r="T107" s="831">
        <v>4.99</v>
      </c>
      <c r="U107" s="831">
        <v>784</v>
      </c>
      <c r="V107" s="831">
        <v>637</v>
      </c>
      <c r="W107" s="831">
        <v>76</v>
      </c>
    </row>
    <row r="108" spans="1:23">
      <c r="A108" s="840">
        <v>1214</v>
      </c>
      <c r="B108" s="841" t="s">
        <v>309</v>
      </c>
      <c r="C108" s="842">
        <v>247</v>
      </c>
      <c r="D108" s="842">
        <v>248</v>
      </c>
      <c r="E108" s="842">
        <v>249</v>
      </c>
      <c r="F108" s="831">
        <v>1666</v>
      </c>
      <c r="G108" s="831">
        <v>1666</v>
      </c>
      <c r="H108" s="854">
        <v>715.4</v>
      </c>
      <c r="I108" s="844">
        <v>188.2</v>
      </c>
      <c r="J108" s="844">
        <v>188.2</v>
      </c>
      <c r="K108" s="848">
        <v>117.6</v>
      </c>
      <c r="L108" s="831">
        <v>260</v>
      </c>
      <c r="M108" s="831">
        <v>0.29499999999999998</v>
      </c>
      <c r="N108" s="831"/>
      <c r="O108" s="832">
        <v>1</v>
      </c>
      <c r="P108" s="831" t="s">
        <v>1884</v>
      </c>
      <c r="Q108" s="832" t="s">
        <v>3783</v>
      </c>
      <c r="R108" s="833"/>
      <c r="S108" s="869">
        <v>125</v>
      </c>
      <c r="T108" s="831">
        <v>7.41</v>
      </c>
      <c r="U108" s="831">
        <v>1024</v>
      </c>
      <c r="V108" s="831">
        <v>588</v>
      </c>
      <c r="W108" s="831">
        <v>67</v>
      </c>
    </row>
    <row r="109" spans="1:23">
      <c r="A109" s="840">
        <v>1215</v>
      </c>
      <c r="B109" s="841" t="s">
        <v>2847</v>
      </c>
      <c r="C109" s="842">
        <v>250</v>
      </c>
      <c r="D109" s="842">
        <v>251</v>
      </c>
      <c r="E109" s="842">
        <v>252</v>
      </c>
      <c r="F109" s="831">
        <v>1666</v>
      </c>
      <c r="G109" s="831">
        <v>1666</v>
      </c>
      <c r="H109" s="854">
        <v>715.4</v>
      </c>
      <c r="I109" s="844">
        <v>313.60000000000002</v>
      </c>
      <c r="J109" s="844">
        <v>313.60000000000002</v>
      </c>
      <c r="K109" s="848">
        <v>225.4</v>
      </c>
      <c r="L109" s="831">
        <v>260</v>
      </c>
      <c r="M109" s="831">
        <v>0.29499999999999998</v>
      </c>
      <c r="N109" s="831"/>
      <c r="O109" s="832">
        <v>1</v>
      </c>
      <c r="P109" s="831" t="s">
        <v>3402</v>
      </c>
      <c r="Q109" s="832" t="s">
        <v>3783</v>
      </c>
      <c r="R109" s="833"/>
      <c r="S109" s="869">
        <v>126</v>
      </c>
      <c r="T109" s="831">
        <v>4.2300000000000004</v>
      </c>
      <c r="U109" s="831">
        <v>837</v>
      </c>
      <c r="V109" s="831">
        <v>588</v>
      </c>
      <c r="W109" s="831">
        <v>81</v>
      </c>
    </row>
    <row r="110" spans="1:23">
      <c r="A110" s="840">
        <v>1216</v>
      </c>
      <c r="B110" s="841" t="s">
        <v>1514</v>
      </c>
      <c r="C110" s="842">
        <v>253</v>
      </c>
      <c r="D110" s="842">
        <v>254</v>
      </c>
      <c r="E110" s="842">
        <v>255</v>
      </c>
      <c r="F110" s="831">
        <v>3381</v>
      </c>
      <c r="G110" s="831">
        <v>3381</v>
      </c>
      <c r="H110" s="854">
        <v>1725</v>
      </c>
      <c r="I110" s="844">
        <v>1098</v>
      </c>
      <c r="J110" s="844">
        <v>1098</v>
      </c>
      <c r="K110" s="848">
        <v>444</v>
      </c>
      <c r="L110" s="831">
        <v>700</v>
      </c>
      <c r="M110" s="831">
        <v>0.32500000000000001</v>
      </c>
      <c r="N110" s="831"/>
      <c r="O110" s="831">
        <v>6</v>
      </c>
      <c r="P110" s="841" t="s">
        <v>1558</v>
      </c>
      <c r="Q110" s="832" t="s">
        <v>3783</v>
      </c>
      <c r="R110" s="833"/>
      <c r="S110" s="869">
        <v>127</v>
      </c>
      <c r="T110" s="831">
        <v>5.46</v>
      </c>
      <c r="U110" s="831">
        <v>466</v>
      </c>
      <c r="V110" s="831">
        <v>343</v>
      </c>
      <c r="W110" s="831">
        <v>31</v>
      </c>
    </row>
    <row r="111" spans="1:23">
      <c r="A111" s="840">
        <v>1301</v>
      </c>
      <c r="B111" s="841" t="s">
        <v>2529</v>
      </c>
      <c r="C111" s="842">
        <v>227</v>
      </c>
      <c r="D111" s="843">
        <v>228</v>
      </c>
      <c r="E111" s="843">
        <v>229</v>
      </c>
      <c r="F111" s="831">
        <v>921</v>
      </c>
      <c r="G111" s="831">
        <v>921</v>
      </c>
      <c r="H111" s="854">
        <v>461</v>
      </c>
      <c r="I111" s="844">
        <v>78.400000000000006</v>
      </c>
      <c r="J111" s="844">
        <v>78.400000000000006</v>
      </c>
      <c r="K111" s="855">
        <v>40.18</v>
      </c>
      <c r="L111" s="831">
        <v>165</v>
      </c>
      <c r="M111" s="831">
        <v>0.23799999999999999</v>
      </c>
      <c r="N111" s="831"/>
      <c r="O111" s="832">
        <v>1</v>
      </c>
      <c r="P111" s="831" t="s">
        <v>2267</v>
      </c>
      <c r="Q111" s="832" t="s">
        <v>872</v>
      </c>
      <c r="R111" s="833"/>
      <c r="S111" s="869">
        <v>128</v>
      </c>
      <c r="T111" s="870">
        <v>14.024967203525859</v>
      </c>
      <c r="U111" s="870">
        <v>474.32100690247529</v>
      </c>
      <c r="V111" s="870">
        <v>294</v>
      </c>
      <c r="W111" s="870">
        <v>23.123726522672673</v>
      </c>
    </row>
    <row r="112" spans="1:23">
      <c r="A112" s="840">
        <v>1302</v>
      </c>
      <c r="B112" s="856" t="s">
        <v>551</v>
      </c>
      <c r="C112" s="831">
        <v>230</v>
      </c>
      <c r="D112" s="831">
        <v>231</v>
      </c>
      <c r="E112" s="831">
        <v>229</v>
      </c>
      <c r="F112" s="854">
        <v>1075</v>
      </c>
      <c r="G112" s="854">
        <v>1075</v>
      </c>
      <c r="H112" s="854">
        <v>461</v>
      </c>
      <c r="I112" s="831">
        <v>97.8</v>
      </c>
      <c r="J112" s="831">
        <v>97.8</v>
      </c>
      <c r="K112" s="855">
        <v>40.18</v>
      </c>
      <c r="L112" s="831">
        <v>165</v>
      </c>
      <c r="M112" s="831">
        <v>0.33300000000000002</v>
      </c>
      <c r="N112" s="831"/>
      <c r="O112" s="832">
        <v>1</v>
      </c>
      <c r="P112" s="831" t="s">
        <v>2459</v>
      </c>
      <c r="Q112" s="832" t="s">
        <v>872</v>
      </c>
      <c r="R112" s="833"/>
      <c r="S112" s="869">
        <v>129</v>
      </c>
      <c r="T112" s="870">
        <v>14.024967203525859</v>
      </c>
      <c r="U112" s="870">
        <v>474.32100690247535</v>
      </c>
      <c r="V112" s="870">
        <v>294</v>
      </c>
      <c r="W112" s="870">
        <v>28.816256550493744</v>
      </c>
    </row>
    <row r="113" spans="1:24">
      <c r="A113" s="840">
        <v>1303</v>
      </c>
      <c r="B113" s="856" t="s">
        <v>2131</v>
      </c>
      <c r="C113" s="831">
        <v>232</v>
      </c>
      <c r="D113" s="831">
        <v>233</v>
      </c>
      <c r="E113" s="831">
        <v>234</v>
      </c>
      <c r="F113" s="854">
        <v>1411</v>
      </c>
      <c r="G113" s="854">
        <v>1411</v>
      </c>
      <c r="H113" s="854">
        <v>686</v>
      </c>
      <c r="I113" s="831">
        <v>136.80000000000001</v>
      </c>
      <c r="J113" s="831">
        <v>136.80000000000001</v>
      </c>
      <c r="K113" s="831">
        <v>58.8</v>
      </c>
      <c r="L113" s="831">
        <v>200</v>
      </c>
      <c r="M113" s="831">
        <v>0.34699999999999998</v>
      </c>
      <c r="N113" s="831"/>
      <c r="O113" s="832">
        <v>1</v>
      </c>
      <c r="P113" s="831" t="s">
        <v>3092</v>
      </c>
      <c r="Q113" s="832" t="s">
        <v>872</v>
      </c>
      <c r="R113" s="833"/>
      <c r="S113" s="869">
        <v>130</v>
      </c>
      <c r="T113" s="870">
        <v>14.024967203525858</v>
      </c>
      <c r="U113" s="870">
        <v>192.08025172561884</v>
      </c>
      <c r="V113" s="870">
        <v>147</v>
      </c>
      <c r="W113" s="870">
        <v>10.154808496177287</v>
      </c>
    </row>
    <row r="114" spans="1:24">
      <c r="A114" s="840">
        <v>10000</v>
      </c>
      <c r="B114" s="841" t="s">
        <v>3433</v>
      </c>
      <c r="C114" s="842">
        <v>101</v>
      </c>
      <c r="D114" s="843">
        <v>102</v>
      </c>
      <c r="E114" s="843">
        <v>103</v>
      </c>
      <c r="F114" s="831">
        <v>921</v>
      </c>
      <c r="G114" s="831">
        <v>921</v>
      </c>
      <c r="H114" s="854">
        <v>461</v>
      </c>
      <c r="I114" s="844">
        <v>78.400000000000006</v>
      </c>
      <c r="J114" s="844">
        <v>78.400000000000006</v>
      </c>
      <c r="K114" s="848">
        <v>40.200000000000003</v>
      </c>
      <c r="L114" s="831">
        <v>165</v>
      </c>
      <c r="M114" s="831">
        <v>0.215</v>
      </c>
      <c r="N114" s="831">
        <v>0.23799999999999999</v>
      </c>
      <c r="O114" s="832">
        <v>1</v>
      </c>
      <c r="P114" s="831" t="s">
        <v>3433</v>
      </c>
      <c r="Q114" s="832"/>
      <c r="R114" s="833"/>
      <c r="S114" s="869">
        <v>151</v>
      </c>
      <c r="T114" s="831">
        <v>26.349</v>
      </c>
      <c r="U114" s="831">
        <v>32.299999999999997</v>
      </c>
      <c r="V114" s="831">
        <v>15.7</v>
      </c>
      <c r="W114" s="831">
        <v>0.63</v>
      </c>
    </row>
    <row r="115" spans="1:24">
      <c r="A115" s="840">
        <v>10001</v>
      </c>
      <c r="B115" s="841" t="s">
        <v>3434</v>
      </c>
      <c r="C115" s="842">
        <v>207</v>
      </c>
      <c r="D115" s="842">
        <v>208</v>
      </c>
      <c r="E115" s="842">
        <v>209</v>
      </c>
      <c r="F115" s="831">
        <v>1333</v>
      </c>
      <c r="G115" s="831">
        <v>1333</v>
      </c>
      <c r="H115" s="854">
        <v>706</v>
      </c>
      <c r="I115" s="844">
        <v>141.1</v>
      </c>
      <c r="J115" s="844">
        <v>141.1</v>
      </c>
      <c r="K115" s="848">
        <v>78.400000000000006</v>
      </c>
      <c r="L115" s="831">
        <v>210</v>
      </c>
      <c r="M115" s="831">
        <v>0.23499999999999999</v>
      </c>
      <c r="N115" s="831">
        <v>0.25800000000000001</v>
      </c>
      <c r="O115" s="831">
        <v>1</v>
      </c>
      <c r="P115" s="841" t="s">
        <v>1791</v>
      </c>
      <c r="Q115" s="832"/>
      <c r="R115" s="833"/>
      <c r="S115" s="869">
        <v>152</v>
      </c>
      <c r="T115" s="831">
        <v>26.363</v>
      </c>
      <c r="U115" s="831">
        <v>15.6</v>
      </c>
      <c r="V115" s="831">
        <v>9.8000000000000007</v>
      </c>
      <c r="W115" s="831">
        <v>0.22</v>
      </c>
    </row>
    <row r="116" spans="1:24">
      <c r="A116" s="840">
        <v>10002</v>
      </c>
      <c r="B116" s="841" t="s">
        <v>3</v>
      </c>
      <c r="C116" s="842">
        <v>125</v>
      </c>
      <c r="D116" s="842">
        <v>126</v>
      </c>
      <c r="E116" s="842">
        <v>127</v>
      </c>
      <c r="F116" s="831">
        <v>588</v>
      </c>
      <c r="G116" s="831">
        <v>588</v>
      </c>
      <c r="H116" s="854">
        <v>343</v>
      </c>
      <c r="I116" s="844">
        <v>58.8</v>
      </c>
      <c r="J116" s="844">
        <v>58.8</v>
      </c>
      <c r="K116" s="848">
        <v>22.5</v>
      </c>
      <c r="L116" s="831">
        <v>125</v>
      </c>
      <c r="M116" s="831">
        <v>0.215</v>
      </c>
      <c r="N116" s="831">
        <v>0.23799999999999999</v>
      </c>
      <c r="O116" s="832">
        <v>1</v>
      </c>
      <c r="P116" s="831" t="s">
        <v>1792</v>
      </c>
      <c r="Q116" s="832"/>
      <c r="R116" s="833"/>
      <c r="S116" s="869">
        <v>153</v>
      </c>
      <c r="T116" s="831">
        <v>32.622</v>
      </c>
      <c r="U116" s="831">
        <v>7.89</v>
      </c>
      <c r="V116" s="831">
        <v>5.9</v>
      </c>
      <c r="W116" s="831">
        <v>6.0999999999999999E-2</v>
      </c>
    </row>
    <row r="117" spans="1:24">
      <c r="A117" s="840">
        <v>10003</v>
      </c>
      <c r="B117" s="841" t="s">
        <v>3224</v>
      </c>
      <c r="C117" s="842">
        <v>101</v>
      </c>
      <c r="D117" s="843">
        <v>102</v>
      </c>
      <c r="E117" s="843">
        <v>103</v>
      </c>
      <c r="F117" s="831">
        <v>921</v>
      </c>
      <c r="G117" s="831">
        <v>921</v>
      </c>
      <c r="H117" s="854">
        <v>461</v>
      </c>
      <c r="I117" s="844">
        <v>78.400000000000006</v>
      </c>
      <c r="J117" s="844">
        <v>78.400000000000006</v>
      </c>
      <c r="K117" s="848">
        <v>40.200000000000003</v>
      </c>
      <c r="L117" s="831">
        <v>165</v>
      </c>
      <c r="M117" s="831">
        <v>0.23799999999999999</v>
      </c>
      <c r="N117" s="831"/>
      <c r="O117" s="832">
        <v>1</v>
      </c>
      <c r="P117" s="831" t="s">
        <v>1793</v>
      </c>
      <c r="Q117" s="832" t="s">
        <v>3783</v>
      </c>
      <c r="R117" s="833"/>
      <c r="S117" s="869">
        <v>154</v>
      </c>
      <c r="T117" s="831">
        <v>16.477</v>
      </c>
      <c r="U117" s="831">
        <v>53.7</v>
      </c>
      <c r="V117" s="831">
        <v>39.200000000000003</v>
      </c>
      <c r="W117" s="831">
        <v>0.88</v>
      </c>
    </row>
    <row r="118" spans="1:24">
      <c r="A118" s="840">
        <v>10004</v>
      </c>
      <c r="B118" s="841" t="s">
        <v>2623</v>
      </c>
      <c r="C118" s="842">
        <v>207</v>
      </c>
      <c r="D118" s="842">
        <v>208</v>
      </c>
      <c r="E118" s="842">
        <v>209</v>
      </c>
      <c r="F118" s="831">
        <v>1333</v>
      </c>
      <c r="G118" s="831">
        <v>1333</v>
      </c>
      <c r="H118" s="854">
        <v>706</v>
      </c>
      <c r="I118" s="844">
        <v>141.1</v>
      </c>
      <c r="J118" s="844">
        <v>141.1</v>
      </c>
      <c r="K118" s="848">
        <v>78.400000000000006</v>
      </c>
      <c r="L118" s="831">
        <v>210</v>
      </c>
      <c r="M118" s="831">
        <v>0.25800000000000001</v>
      </c>
      <c r="N118" s="831"/>
      <c r="O118" s="832">
        <v>1</v>
      </c>
      <c r="P118" s="831" t="s">
        <v>1791</v>
      </c>
      <c r="Q118" s="832" t="s">
        <v>3783</v>
      </c>
      <c r="R118" s="833"/>
      <c r="S118" s="869">
        <v>155</v>
      </c>
      <c r="T118" s="927">
        <v>25.2</v>
      </c>
      <c r="U118" s="927">
        <v>26</v>
      </c>
      <c r="V118" s="927">
        <v>19.600000000000001</v>
      </c>
      <c r="W118" s="927">
        <v>0.25</v>
      </c>
    </row>
    <row r="119" spans="1:24">
      <c r="A119" s="840">
        <v>10005</v>
      </c>
      <c r="B119" s="841" t="s">
        <v>2741</v>
      </c>
      <c r="C119" s="842">
        <v>125</v>
      </c>
      <c r="D119" s="842">
        <v>126</v>
      </c>
      <c r="E119" s="842">
        <v>127</v>
      </c>
      <c r="F119" s="831">
        <v>588</v>
      </c>
      <c r="G119" s="831">
        <v>588</v>
      </c>
      <c r="H119" s="854">
        <v>343</v>
      </c>
      <c r="I119" s="844">
        <v>58.8</v>
      </c>
      <c r="J119" s="844">
        <v>58.8</v>
      </c>
      <c r="K119" s="848">
        <v>22.5</v>
      </c>
      <c r="L119" s="831">
        <v>125</v>
      </c>
      <c r="M119" s="831">
        <v>0.23799999999999999</v>
      </c>
      <c r="N119" s="831"/>
      <c r="O119" s="832">
        <v>1</v>
      </c>
      <c r="P119" s="831" t="s">
        <v>1792</v>
      </c>
      <c r="Q119" s="832" t="s">
        <v>3783</v>
      </c>
      <c r="R119" s="833"/>
      <c r="S119" s="869">
        <v>156</v>
      </c>
      <c r="T119" s="831">
        <v>16.984000000000002</v>
      </c>
      <c r="U119" s="831">
        <v>32.700000000000003</v>
      </c>
      <c r="V119" s="831">
        <v>22</v>
      </c>
      <c r="W119" s="831">
        <v>0.63</v>
      </c>
    </row>
    <row r="120" spans="1:24">
      <c r="A120" s="831">
        <v>10006</v>
      </c>
      <c r="B120" s="857" t="s">
        <v>547</v>
      </c>
      <c r="C120" s="831">
        <v>256</v>
      </c>
      <c r="D120" s="831">
        <v>257</v>
      </c>
      <c r="E120" s="831">
        <v>258</v>
      </c>
      <c r="F120" s="857">
        <v>206</v>
      </c>
      <c r="G120" s="857">
        <v>206</v>
      </c>
      <c r="H120" s="858">
        <v>127</v>
      </c>
      <c r="I120" s="859">
        <v>28</v>
      </c>
      <c r="J120" s="859">
        <v>28</v>
      </c>
      <c r="K120" s="860">
        <v>11</v>
      </c>
      <c r="L120" s="857">
        <v>50</v>
      </c>
      <c r="M120" s="857">
        <v>0.17499999999999999</v>
      </c>
      <c r="N120" s="831"/>
      <c r="O120" s="831">
        <v>1</v>
      </c>
      <c r="P120" s="857" t="s">
        <v>547</v>
      </c>
      <c r="Q120" s="832"/>
      <c r="R120" s="833"/>
      <c r="S120" s="869">
        <v>157</v>
      </c>
      <c r="T120" s="831">
        <v>25.332999999999998</v>
      </c>
      <c r="U120" s="831">
        <v>13.6</v>
      </c>
      <c r="V120" s="831">
        <v>9.8000000000000007</v>
      </c>
      <c r="W120" s="831">
        <v>0.15</v>
      </c>
    </row>
    <row r="121" spans="1:24">
      <c r="A121" s="831">
        <v>10007</v>
      </c>
      <c r="B121" s="857" t="s">
        <v>3466</v>
      </c>
      <c r="C121" s="831">
        <v>256</v>
      </c>
      <c r="D121" s="831">
        <v>257</v>
      </c>
      <c r="E121" s="831">
        <v>258</v>
      </c>
      <c r="F121" s="857">
        <v>206</v>
      </c>
      <c r="G121" s="857">
        <v>206</v>
      </c>
      <c r="H121" s="858">
        <v>127</v>
      </c>
      <c r="I121" s="859">
        <v>28</v>
      </c>
      <c r="J121" s="859">
        <v>28</v>
      </c>
      <c r="K121" s="860">
        <v>11</v>
      </c>
      <c r="L121" s="857">
        <v>50</v>
      </c>
      <c r="M121" s="857">
        <v>0.17499999999999999</v>
      </c>
      <c r="N121" s="831"/>
      <c r="O121" s="831">
        <v>1</v>
      </c>
      <c r="P121" s="857" t="s">
        <v>3466</v>
      </c>
      <c r="Q121" s="832"/>
      <c r="R121" s="833"/>
      <c r="S121" s="869">
        <v>158</v>
      </c>
      <c r="T121" s="831">
        <v>26.45</v>
      </c>
      <c r="U121" s="831">
        <v>32.4</v>
      </c>
      <c r="V121" s="831">
        <v>15.7</v>
      </c>
      <c r="W121" s="831">
        <v>0.63</v>
      </c>
    </row>
    <row r="122" spans="1:24">
      <c r="A122" s="861">
        <v>10008</v>
      </c>
      <c r="B122" s="862" t="s">
        <v>3505</v>
      </c>
      <c r="C122" s="863">
        <v>101</v>
      </c>
      <c r="D122" s="863">
        <v>102</v>
      </c>
      <c r="E122" s="863">
        <v>103</v>
      </c>
      <c r="F122" s="864">
        <v>921</v>
      </c>
      <c r="G122" s="864">
        <v>921</v>
      </c>
      <c r="H122" s="864">
        <v>461</v>
      </c>
      <c r="I122" s="864">
        <v>78.400000000000006</v>
      </c>
      <c r="J122" s="864">
        <v>78.400000000000006</v>
      </c>
      <c r="K122" s="864">
        <v>40.200000000000003</v>
      </c>
      <c r="L122" s="864">
        <v>165</v>
      </c>
      <c r="M122" s="864">
        <v>0.215</v>
      </c>
      <c r="N122" s="855"/>
      <c r="O122" s="863">
        <v>1</v>
      </c>
      <c r="P122" s="860" t="s">
        <v>3505</v>
      </c>
      <c r="Q122" s="865"/>
      <c r="R122" s="866"/>
      <c r="S122" s="869">
        <v>159</v>
      </c>
      <c r="T122" s="831">
        <v>26.45</v>
      </c>
      <c r="U122" s="831">
        <v>25.29</v>
      </c>
      <c r="V122" s="831">
        <v>15.7</v>
      </c>
      <c r="W122" s="831">
        <v>0.36</v>
      </c>
    </row>
    <row r="123" spans="1:24">
      <c r="A123" s="861">
        <v>10009</v>
      </c>
      <c r="B123" s="862" t="s">
        <v>416</v>
      </c>
      <c r="C123" s="863">
        <v>101</v>
      </c>
      <c r="D123" s="863">
        <v>102</v>
      </c>
      <c r="E123" s="863">
        <v>103</v>
      </c>
      <c r="F123" s="864">
        <v>921</v>
      </c>
      <c r="G123" s="864">
        <v>921</v>
      </c>
      <c r="H123" s="864">
        <v>461</v>
      </c>
      <c r="I123" s="864">
        <v>78.400000000000006</v>
      </c>
      <c r="J123" s="864">
        <v>78.400000000000006</v>
      </c>
      <c r="K123" s="864">
        <v>40.200000000000003</v>
      </c>
      <c r="L123" s="864">
        <v>165</v>
      </c>
      <c r="M123" s="864">
        <v>0.23799999999999999</v>
      </c>
      <c r="N123" s="855"/>
      <c r="O123" s="863">
        <v>1</v>
      </c>
      <c r="P123" s="860" t="s">
        <v>3505</v>
      </c>
      <c r="Q123" s="865" t="s">
        <v>872</v>
      </c>
      <c r="R123" s="866"/>
      <c r="S123" s="869">
        <v>160</v>
      </c>
      <c r="T123" s="831">
        <v>34.380000000000003</v>
      </c>
      <c r="U123" s="831">
        <v>9.11</v>
      </c>
      <c r="V123" s="831">
        <v>6.9</v>
      </c>
      <c r="W123" s="831">
        <v>6.4000000000000001E-2</v>
      </c>
    </row>
    <row r="124" spans="1:24">
      <c r="A124" s="861">
        <v>10010</v>
      </c>
      <c r="B124" s="853" t="s">
        <v>2730</v>
      </c>
      <c r="C124" s="863">
        <v>230</v>
      </c>
      <c r="D124" s="863">
        <v>231</v>
      </c>
      <c r="E124" s="863">
        <v>229</v>
      </c>
      <c r="F124" s="855">
        <v>1075</v>
      </c>
      <c r="G124" s="855">
        <v>1075</v>
      </c>
      <c r="H124" s="855">
        <v>461</v>
      </c>
      <c r="I124" s="855">
        <v>97.8</v>
      </c>
      <c r="J124" s="855">
        <v>97.8</v>
      </c>
      <c r="K124" s="855">
        <v>40.18</v>
      </c>
      <c r="L124" s="855">
        <v>165</v>
      </c>
      <c r="M124" s="855">
        <v>0.31</v>
      </c>
      <c r="N124" s="855"/>
      <c r="O124" s="867">
        <v>1</v>
      </c>
      <c r="P124" s="848" t="s">
        <v>2730</v>
      </c>
      <c r="Q124" s="865"/>
      <c r="R124" s="866"/>
      <c r="S124" s="869">
        <v>161</v>
      </c>
      <c r="T124" s="831">
        <v>39.67</v>
      </c>
      <c r="U124" s="831">
        <v>40.700000000000003</v>
      </c>
      <c r="V124" s="831">
        <v>15.7</v>
      </c>
      <c r="W124" s="831">
        <v>0.63</v>
      </c>
    </row>
    <row r="125" spans="1:24">
      <c r="A125" s="861">
        <v>10011</v>
      </c>
      <c r="B125" s="853" t="s">
        <v>2656</v>
      </c>
      <c r="C125" s="863">
        <v>232</v>
      </c>
      <c r="D125" s="863">
        <v>233</v>
      </c>
      <c r="E125" s="863">
        <v>234</v>
      </c>
      <c r="F125" s="855">
        <v>1411</v>
      </c>
      <c r="G125" s="855">
        <v>1411</v>
      </c>
      <c r="H125" s="855">
        <v>686</v>
      </c>
      <c r="I125" s="855">
        <v>136.80000000000001</v>
      </c>
      <c r="J125" s="855">
        <v>136.80000000000001</v>
      </c>
      <c r="K125" s="855">
        <v>58.8</v>
      </c>
      <c r="L125" s="855">
        <v>200</v>
      </c>
      <c r="M125" s="855">
        <v>0.32400000000000001</v>
      </c>
      <c r="N125" s="855"/>
      <c r="O125" s="867">
        <v>1</v>
      </c>
      <c r="P125" s="848" t="s">
        <v>2656</v>
      </c>
      <c r="Q125" s="865"/>
      <c r="R125" s="866"/>
      <c r="S125" s="869">
        <v>162</v>
      </c>
      <c r="T125" s="831">
        <v>39.67</v>
      </c>
      <c r="U125" s="831">
        <v>18.55</v>
      </c>
      <c r="V125" s="831">
        <v>9.8000000000000007</v>
      </c>
      <c r="W125" s="831">
        <v>0.22</v>
      </c>
    </row>
    <row r="126" spans="1:24">
      <c r="A126" s="861">
        <v>10012</v>
      </c>
      <c r="B126" s="868" t="s">
        <v>2394</v>
      </c>
      <c r="C126" s="863">
        <v>230</v>
      </c>
      <c r="D126" s="863">
        <v>231</v>
      </c>
      <c r="E126" s="863">
        <v>229</v>
      </c>
      <c r="F126" s="855">
        <v>1075</v>
      </c>
      <c r="G126" s="855">
        <v>1075</v>
      </c>
      <c r="H126" s="855">
        <v>461</v>
      </c>
      <c r="I126" s="855">
        <v>97.8</v>
      </c>
      <c r="J126" s="855">
        <v>97.8</v>
      </c>
      <c r="K126" s="855">
        <v>40.18</v>
      </c>
      <c r="L126" s="855">
        <v>165</v>
      </c>
      <c r="M126" s="855">
        <v>0.33300000000000002</v>
      </c>
      <c r="N126" s="855"/>
      <c r="O126" s="867">
        <v>1</v>
      </c>
      <c r="P126" s="848" t="s">
        <v>2730</v>
      </c>
      <c r="Q126" s="865" t="s">
        <v>872</v>
      </c>
      <c r="R126" s="866"/>
      <c r="S126" s="869">
        <v>163</v>
      </c>
      <c r="T126" s="831">
        <v>119</v>
      </c>
      <c r="U126" s="831">
        <v>6.17</v>
      </c>
      <c r="V126" s="831">
        <v>2</v>
      </c>
      <c r="W126" s="831">
        <v>3.5000000000000003E-2</v>
      </c>
    </row>
    <row r="127" spans="1:24">
      <c r="A127" s="861">
        <v>10013</v>
      </c>
      <c r="B127" s="868" t="s">
        <v>2005</v>
      </c>
      <c r="C127" s="863">
        <v>232</v>
      </c>
      <c r="D127" s="863">
        <v>233</v>
      </c>
      <c r="E127" s="863">
        <v>234</v>
      </c>
      <c r="F127" s="855">
        <v>1411</v>
      </c>
      <c r="G127" s="855">
        <v>1411</v>
      </c>
      <c r="H127" s="855">
        <v>686</v>
      </c>
      <c r="I127" s="855">
        <v>136.80000000000001</v>
      </c>
      <c r="J127" s="855">
        <v>136.80000000000001</v>
      </c>
      <c r="K127" s="855">
        <v>58.8</v>
      </c>
      <c r="L127" s="855">
        <v>200</v>
      </c>
      <c r="M127" s="855">
        <v>0.34699999999999998</v>
      </c>
      <c r="N127" s="855"/>
      <c r="O127" s="867">
        <v>1</v>
      </c>
      <c r="P127" s="848" t="s">
        <v>2656</v>
      </c>
      <c r="Q127" s="865" t="s">
        <v>872</v>
      </c>
      <c r="R127" s="866"/>
      <c r="S127" s="869">
        <v>164</v>
      </c>
      <c r="T127" s="831">
        <v>39.67</v>
      </c>
      <c r="U127" s="831">
        <v>37.9</v>
      </c>
      <c r="V127" s="831">
        <v>13.7</v>
      </c>
      <c r="W127" s="831">
        <v>0.61</v>
      </c>
      <c r="X127" s="194"/>
    </row>
    <row r="128" spans="1:24">
      <c r="A128" s="861">
        <v>10014</v>
      </c>
      <c r="B128" s="868" t="s">
        <v>2006</v>
      </c>
      <c r="C128" s="863">
        <v>207</v>
      </c>
      <c r="D128" s="863">
        <v>208</v>
      </c>
      <c r="E128" s="863">
        <v>209</v>
      </c>
      <c r="F128" s="855">
        <v>1333</v>
      </c>
      <c r="G128" s="855">
        <v>1333</v>
      </c>
      <c r="H128" s="855">
        <v>706</v>
      </c>
      <c r="I128" s="855">
        <v>141.1</v>
      </c>
      <c r="J128" s="855">
        <v>141.1</v>
      </c>
      <c r="K128" s="855">
        <v>78.400000000000006</v>
      </c>
      <c r="L128" s="855">
        <v>200</v>
      </c>
      <c r="M128" s="855">
        <v>0.23499999999999999</v>
      </c>
      <c r="N128" s="855"/>
      <c r="O128" s="867">
        <v>1</v>
      </c>
      <c r="P128" s="848" t="s">
        <v>2006</v>
      </c>
      <c r="Q128" s="865"/>
      <c r="R128" s="866"/>
      <c r="S128" s="869">
        <v>165</v>
      </c>
      <c r="T128" s="831">
        <v>39.67</v>
      </c>
      <c r="U128" s="831">
        <v>15.75</v>
      </c>
      <c r="V128" s="831">
        <v>7.8</v>
      </c>
      <c r="W128" s="831">
        <v>0.2</v>
      </c>
      <c r="X128" s="194"/>
    </row>
    <row r="129" spans="1:24">
      <c r="A129" s="861">
        <v>10015</v>
      </c>
      <c r="B129" s="868" t="s">
        <v>1020</v>
      </c>
      <c r="C129" s="863">
        <v>207</v>
      </c>
      <c r="D129" s="863">
        <v>208</v>
      </c>
      <c r="E129" s="863">
        <v>209</v>
      </c>
      <c r="F129" s="855">
        <v>1333</v>
      </c>
      <c r="G129" s="855">
        <v>1333</v>
      </c>
      <c r="H129" s="855">
        <v>706</v>
      </c>
      <c r="I129" s="855">
        <v>141.1</v>
      </c>
      <c r="J129" s="855">
        <v>141.1</v>
      </c>
      <c r="K129" s="855">
        <v>78.400000000000006</v>
      </c>
      <c r="L129" s="855">
        <v>200</v>
      </c>
      <c r="M129" s="855">
        <v>0.25800000000000001</v>
      </c>
      <c r="N129" s="855"/>
      <c r="O129" s="867">
        <v>1</v>
      </c>
      <c r="P129" s="848" t="s">
        <v>2006</v>
      </c>
      <c r="Q129" s="865" t="s">
        <v>872</v>
      </c>
      <c r="R129" s="866"/>
      <c r="S129" s="869">
        <v>166</v>
      </c>
      <c r="T129" s="831">
        <v>198.34</v>
      </c>
      <c r="U129" s="831">
        <v>5.17</v>
      </c>
      <c r="V129" s="831">
        <v>1.2</v>
      </c>
      <c r="W129" s="831">
        <v>0.02</v>
      </c>
      <c r="X129" s="194"/>
    </row>
    <row r="130" spans="1:24">
      <c r="A130" s="861">
        <v>10016</v>
      </c>
      <c r="B130" s="868" t="s">
        <v>1021</v>
      </c>
      <c r="C130" s="863">
        <v>259</v>
      </c>
      <c r="D130" s="863">
        <v>259</v>
      </c>
      <c r="E130" s="863">
        <v>260</v>
      </c>
      <c r="F130" s="855">
        <v>980</v>
      </c>
      <c r="G130" s="855">
        <v>980</v>
      </c>
      <c r="H130" s="855">
        <v>706</v>
      </c>
      <c r="I130" s="855">
        <v>225.4</v>
      </c>
      <c r="J130" s="855">
        <v>225.4</v>
      </c>
      <c r="K130" s="855">
        <v>196</v>
      </c>
      <c r="L130" s="855">
        <v>100</v>
      </c>
      <c r="M130" s="855">
        <v>0.23499999999999999</v>
      </c>
      <c r="N130" s="855"/>
      <c r="O130" s="867">
        <v>1</v>
      </c>
      <c r="P130" s="848" t="s">
        <v>1021</v>
      </c>
      <c r="Q130" s="865"/>
      <c r="R130" s="866"/>
      <c r="S130" s="869">
        <v>201</v>
      </c>
      <c r="T130" s="831">
        <v>4.08</v>
      </c>
      <c r="U130" s="831">
        <v>1754</v>
      </c>
      <c r="V130" s="831">
        <v>1274</v>
      </c>
      <c r="W130" s="831">
        <v>190</v>
      </c>
    </row>
    <row r="131" spans="1:24">
      <c r="A131" s="861">
        <v>10017</v>
      </c>
      <c r="B131" s="868" t="s">
        <v>1781</v>
      </c>
      <c r="C131" s="863">
        <v>259</v>
      </c>
      <c r="D131" s="863">
        <v>259</v>
      </c>
      <c r="E131" s="863">
        <v>260</v>
      </c>
      <c r="F131" s="855">
        <v>980</v>
      </c>
      <c r="G131" s="855">
        <v>980</v>
      </c>
      <c r="H131" s="855">
        <v>706</v>
      </c>
      <c r="I131" s="855">
        <v>225.4</v>
      </c>
      <c r="J131" s="855">
        <v>225.4</v>
      </c>
      <c r="K131" s="855">
        <v>196</v>
      </c>
      <c r="L131" s="855">
        <v>100</v>
      </c>
      <c r="M131" s="855">
        <v>0.25800000000000001</v>
      </c>
      <c r="N131" s="855"/>
      <c r="O131" s="867">
        <v>1</v>
      </c>
      <c r="P131" s="848" t="s">
        <v>1021</v>
      </c>
      <c r="Q131" s="865" t="s">
        <v>872</v>
      </c>
      <c r="R131" s="866"/>
      <c r="S131" s="869">
        <v>202</v>
      </c>
      <c r="T131" s="831">
        <v>2.78</v>
      </c>
      <c r="U131" s="831">
        <v>1601</v>
      </c>
      <c r="V131" s="831">
        <v>1274</v>
      </c>
      <c r="W131" s="831">
        <v>215</v>
      </c>
    </row>
    <row r="132" spans="1:24">
      <c r="A132" s="861">
        <v>10018</v>
      </c>
      <c r="B132" s="868" t="s">
        <v>1782</v>
      </c>
      <c r="C132" s="863">
        <v>261</v>
      </c>
      <c r="D132" s="863">
        <v>262</v>
      </c>
      <c r="E132" s="863">
        <v>263</v>
      </c>
      <c r="F132" s="855">
        <v>1225</v>
      </c>
      <c r="G132" s="855">
        <v>1225</v>
      </c>
      <c r="H132" s="855">
        <v>705.6</v>
      </c>
      <c r="I132" s="855">
        <v>225.4</v>
      </c>
      <c r="J132" s="855">
        <v>225.4</v>
      </c>
      <c r="K132" s="855">
        <v>196</v>
      </c>
      <c r="L132" s="855">
        <v>175</v>
      </c>
      <c r="M132" s="855">
        <v>0.23499999999999999</v>
      </c>
      <c r="N132" s="855"/>
      <c r="O132" s="867">
        <v>1</v>
      </c>
      <c r="P132" s="848" t="s">
        <v>1782</v>
      </c>
      <c r="Q132" s="865"/>
      <c r="R132" s="866"/>
      <c r="S132" s="869">
        <v>203</v>
      </c>
      <c r="T132" s="831">
        <v>2.94</v>
      </c>
      <c r="U132" s="831">
        <v>859</v>
      </c>
      <c r="V132" s="831">
        <v>686</v>
      </c>
      <c r="W132" s="831">
        <v>103</v>
      </c>
    </row>
    <row r="133" spans="1:24">
      <c r="A133" s="861">
        <v>10019</v>
      </c>
      <c r="B133" s="868" t="s">
        <v>1783</v>
      </c>
      <c r="C133" s="863">
        <v>261</v>
      </c>
      <c r="D133" s="863">
        <v>262</v>
      </c>
      <c r="E133" s="863">
        <v>263</v>
      </c>
      <c r="F133" s="855">
        <v>1225</v>
      </c>
      <c r="G133" s="855">
        <v>1225</v>
      </c>
      <c r="H133" s="855">
        <v>705.6</v>
      </c>
      <c r="I133" s="855">
        <v>225.4</v>
      </c>
      <c r="J133" s="855">
        <v>225.4</v>
      </c>
      <c r="K133" s="855">
        <v>196</v>
      </c>
      <c r="L133" s="855">
        <v>175</v>
      </c>
      <c r="M133" s="855">
        <v>0.25800000000000001</v>
      </c>
      <c r="N133" s="855"/>
      <c r="O133" s="867">
        <v>1</v>
      </c>
      <c r="P133" s="848" t="s">
        <v>1782</v>
      </c>
      <c r="Q133" s="865" t="s">
        <v>872</v>
      </c>
      <c r="R133" s="866"/>
      <c r="S133" s="869">
        <v>204</v>
      </c>
      <c r="T133" s="831">
        <v>2.23</v>
      </c>
      <c r="U133" s="831">
        <v>1754</v>
      </c>
      <c r="V133" s="831">
        <v>1274</v>
      </c>
      <c r="W133" s="831">
        <v>216</v>
      </c>
    </row>
    <row r="134" spans="1:24">
      <c r="A134" s="861">
        <v>10020</v>
      </c>
      <c r="B134" s="868" t="s">
        <v>3033</v>
      </c>
      <c r="C134" s="863">
        <v>264</v>
      </c>
      <c r="D134" s="863">
        <v>265</v>
      </c>
      <c r="E134" s="863">
        <v>212</v>
      </c>
      <c r="F134" s="855">
        <v>1333</v>
      </c>
      <c r="G134" s="855">
        <v>1333</v>
      </c>
      <c r="H134" s="855">
        <v>706</v>
      </c>
      <c r="I134" s="855">
        <v>225.4</v>
      </c>
      <c r="J134" s="855">
        <v>225.4</v>
      </c>
      <c r="K134" s="855">
        <v>196</v>
      </c>
      <c r="L134" s="855">
        <v>210</v>
      </c>
      <c r="M134" s="855">
        <v>0.23499999999999999</v>
      </c>
      <c r="N134" s="855"/>
      <c r="O134" s="867">
        <v>1</v>
      </c>
      <c r="P134" s="848" t="s">
        <v>3033</v>
      </c>
      <c r="Q134" s="865"/>
      <c r="R134" s="866"/>
      <c r="S134" s="869">
        <v>205</v>
      </c>
      <c r="T134" s="831">
        <v>1.52</v>
      </c>
      <c r="U134" s="831">
        <v>1601</v>
      </c>
      <c r="V134" s="831">
        <v>1274</v>
      </c>
      <c r="W134" s="831">
        <v>216</v>
      </c>
    </row>
    <row r="135" spans="1:24">
      <c r="A135" s="861">
        <v>10021</v>
      </c>
      <c r="B135" s="868" t="s">
        <v>2225</v>
      </c>
      <c r="C135" s="863">
        <v>264</v>
      </c>
      <c r="D135" s="863">
        <v>265</v>
      </c>
      <c r="E135" s="863">
        <v>212</v>
      </c>
      <c r="F135" s="855">
        <v>1333</v>
      </c>
      <c r="G135" s="855">
        <v>1333</v>
      </c>
      <c r="H135" s="855">
        <v>706</v>
      </c>
      <c r="I135" s="855">
        <v>225.4</v>
      </c>
      <c r="J135" s="855">
        <v>225.4</v>
      </c>
      <c r="K135" s="855">
        <v>196</v>
      </c>
      <c r="L135" s="855">
        <v>210</v>
      </c>
      <c r="M135" s="855">
        <v>0.25800000000000001</v>
      </c>
      <c r="N135" s="855"/>
      <c r="O135" s="867">
        <v>1</v>
      </c>
      <c r="P135" s="848" t="s">
        <v>3033</v>
      </c>
      <c r="Q135" s="865" t="s">
        <v>872</v>
      </c>
      <c r="R135" s="866"/>
      <c r="S135" s="869">
        <v>206</v>
      </c>
      <c r="T135" s="831">
        <v>0.88</v>
      </c>
      <c r="U135" s="831">
        <v>859</v>
      </c>
      <c r="V135" s="831">
        <v>686</v>
      </c>
      <c r="W135" s="831">
        <v>196</v>
      </c>
    </row>
    <row r="136" spans="1:24">
      <c r="A136" s="861">
        <v>10022</v>
      </c>
      <c r="B136" s="868" t="s">
        <v>1065</v>
      </c>
      <c r="C136" s="863">
        <v>113</v>
      </c>
      <c r="D136" s="863">
        <v>114</v>
      </c>
      <c r="E136" s="863">
        <v>115</v>
      </c>
      <c r="F136" s="855">
        <v>911</v>
      </c>
      <c r="G136" s="855">
        <v>911</v>
      </c>
      <c r="H136" s="855">
        <v>451</v>
      </c>
      <c r="I136" s="855">
        <v>88.2</v>
      </c>
      <c r="J136" s="855">
        <v>88.2</v>
      </c>
      <c r="K136" s="855">
        <v>44.1</v>
      </c>
      <c r="L136" s="855">
        <v>165</v>
      </c>
      <c r="M136" s="855">
        <v>0.24</v>
      </c>
      <c r="N136" s="855"/>
      <c r="O136" s="867">
        <v>1</v>
      </c>
      <c r="P136" s="848" t="s">
        <v>1065</v>
      </c>
      <c r="Q136" s="865"/>
      <c r="R136" s="866"/>
      <c r="S136" s="869">
        <v>207</v>
      </c>
      <c r="T136" s="831">
        <v>4.0999999999999996</v>
      </c>
      <c r="U136" s="831">
        <v>1912</v>
      </c>
      <c r="V136" s="831">
        <v>1333</v>
      </c>
      <c r="W136" s="831">
        <v>190</v>
      </c>
    </row>
    <row r="137" spans="1:24">
      <c r="A137" s="861">
        <v>10023</v>
      </c>
      <c r="B137" s="868" t="s">
        <v>1066</v>
      </c>
      <c r="C137" s="863">
        <v>113</v>
      </c>
      <c r="D137" s="863">
        <v>114</v>
      </c>
      <c r="E137" s="863">
        <v>115</v>
      </c>
      <c r="F137" s="855">
        <v>911</v>
      </c>
      <c r="G137" s="855">
        <v>911</v>
      </c>
      <c r="H137" s="855">
        <v>451</v>
      </c>
      <c r="I137" s="855">
        <v>88.2</v>
      </c>
      <c r="J137" s="855">
        <v>88.2</v>
      </c>
      <c r="K137" s="855">
        <v>44.1</v>
      </c>
      <c r="L137" s="855">
        <v>165</v>
      </c>
      <c r="M137" s="855">
        <v>0.25</v>
      </c>
      <c r="N137" s="855"/>
      <c r="O137" s="867">
        <v>1</v>
      </c>
      <c r="P137" s="848" t="s">
        <v>1065</v>
      </c>
      <c r="Q137" s="865" t="s">
        <v>872</v>
      </c>
      <c r="R137" s="866"/>
      <c r="S137" s="869">
        <v>208</v>
      </c>
      <c r="T137" s="831">
        <v>2.79</v>
      </c>
      <c r="U137" s="831">
        <v>1727</v>
      </c>
      <c r="V137" s="831">
        <v>1333</v>
      </c>
      <c r="W137" s="831">
        <v>215</v>
      </c>
    </row>
    <row r="138" spans="1:24">
      <c r="A138" s="861">
        <v>10024</v>
      </c>
      <c r="B138" s="868" t="s">
        <v>3746</v>
      </c>
      <c r="C138" s="863">
        <v>104</v>
      </c>
      <c r="D138" s="863">
        <v>105</v>
      </c>
      <c r="E138" s="863">
        <v>106</v>
      </c>
      <c r="F138" s="855">
        <v>1274</v>
      </c>
      <c r="G138" s="855">
        <v>1274</v>
      </c>
      <c r="H138" s="855">
        <v>686</v>
      </c>
      <c r="I138" s="855">
        <v>117.6</v>
      </c>
      <c r="J138" s="855">
        <v>117.6</v>
      </c>
      <c r="K138" s="855">
        <v>58.8</v>
      </c>
      <c r="L138" s="855">
        <v>200</v>
      </c>
      <c r="M138" s="855">
        <v>0.26</v>
      </c>
      <c r="N138" s="855"/>
      <c r="O138" s="867">
        <v>1</v>
      </c>
      <c r="P138" s="848" t="s">
        <v>3746</v>
      </c>
      <c r="Q138" s="865"/>
      <c r="R138" s="866"/>
      <c r="S138" s="869">
        <v>209</v>
      </c>
      <c r="T138" s="831">
        <v>2.93</v>
      </c>
      <c r="U138" s="831">
        <v>936</v>
      </c>
      <c r="V138" s="831">
        <v>706</v>
      </c>
      <c r="W138" s="831">
        <v>103</v>
      </c>
    </row>
    <row r="139" spans="1:24">
      <c r="A139" s="861">
        <v>10025</v>
      </c>
      <c r="B139" s="868" t="s">
        <v>3747</v>
      </c>
      <c r="C139" s="863">
        <v>104</v>
      </c>
      <c r="D139" s="863">
        <v>105</v>
      </c>
      <c r="E139" s="961">
        <v>106</v>
      </c>
      <c r="F139" s="962">
        <v>1274</v>
      </c>
      <c r="G139" s="962">
        <v>1274</v>
      </c>
      <c r="H139" s="962">
        <v>686</v>
      </c>
      <c r="I139" s="962">
        <v>117.6</v>
      </c>
      <c r="J139" s="962">
        <v>117.6</v>
      </c>
      <c r="K139" s="962">
        <v>58.8</v>
      </c>
      <c r="L139" s="962">
        <v>200</v>
      </c>
      <c r="M139" s="962">
        <v>0.27500000000000002</v>
      </c>
      <c r="N139" s="962"/>
      <c r="O139" s="963">
        <v>1</v>
      </c>
      <c r="P139" s="848" t="s">
        <v>3746</v>
      </c>
      <c r="Q139" s="865" t="s">
        <v>872</v>
      </c>
      <c r="R139" s="866"/>
      <c r="S139" s="869">
        <v>210</v>
      </c>
      <c r="T139" s="831">
        <v>4.1100000000000003</v>
      </c>
      <c r="U139" s="831">
        <v>2218</v>
      </c>
      <c r="V139" s="831">
        <v>1333</v>
      </c>
      <c r="W139" s="831">
        <v>216</v>
      </c>
    </row>
    <row r="140" spans="1:24">
      <c r="A140" s="861">
        <v>10026</v>
      </c>
      <c r="B140" s="868" t="s">
        <v>3748</v>
      </c>
      <c r="C140" s="863">
        <v>256</v>
      </c>
      <c r="D140" s="863">
        <v>257</v>
      </c>
      <c r="E140" s="961">
        <v>258</v>
      </c>
      <c r="F140" s="962">
        <v>206</v>
      </c>
      <c r="G140" s="962">
        <v>206</v>
      </c>
      <c r="H140" s="962">
        <v>127</v>
      </c>
      <c r="I140" s="962">
        <v>28</v>
      </c>
      <c r="J140" s="962">
        <v>28</v>
      </c>
      <c r="K140" s="962">
        <v>11</v>
      </c>
      <c r="L140" s="962">
        <v>50</v>
      </c>
      <c r="M140" s="962">
        <v>0.17499999999999999</v>
      </c>
      <c r="N140" s="962"/>
      <c r="O140" s="963">
        <v>1</v>
      </c>
      <c r="P140" s="848" t="s">
        <v>3748</v>
      </c>
      <c r="Q140" s="865"/>
      <c r="R140" s="866"/>
      <c r="S140" s="869">
        <v>211</v>
      </c>
      <c r="T140" s="831">
        <v>2.79</v>
      </c>
      <c r="U140" s="831">
        <v>1935</v>
      </c>
      <c r="V140" s="831">
        <v>1333</v>
      </c>
      <c r="W140" s="831">
        <v>216</v>
      </c>
    </row>
    <row r="141" spans="1:24">
      <c r="A141" s="861">
        <v>10027</v>
      </c>
      <c r="B141" s="868" t="s">
        <v>3749</v>
      </c>
      <c r="C141" s="863">
        <v>266</v>
      </c>
      <c r="D141" s="863">
        <v>266</v>
      </c>
      <c r="E141" s="961">
        <v>267</v>
      </c>
      <c r="F141" s="962">
        <v>294</v>
      </c>
      <c r="G141" s="962">
        <v>294</v>
      </c>
      <c r="H141" s="962">
        <v>147</v>
      </c>
      <c r="I141" s="962">
        <v>28</v>
      </c>
      <c r="J141" s="962">
        <v>28</v>
      </c>
      <c r="K141" s="962">
        <v>11</v>
      </c>
      <c r="L141" s="962">
        <v>70</v>
      </c>
      <c r="M141" s="962">
        <v>0.17499999999999999</v>
      </c>
      <c r="N141" s="962"/>
      <c r="O141" s="963">
        <v>1</v>
      </c>
      <c r="P141" s="848" t="s">
        <v>3749</v>
      </c>
      <c r="Q141" s="865"/>
      <c r="R141" s="866"/>
      <c r="S141" s="869">
        <v>212</v>
      </c>
      <c r="T141" s="831">
        <v>2.93</v>
      </c>
      <c r="U141" s="831">
        <v>1281</v>
      </c>
      <c r="V141" s="831">
        <v>706</v>
      </c>
      <c r="W141" s="831">
        <v>196</v>
      </c>
    </row>
    <row r="142" spans="1:24">
      <c r="A142" s="861">
        <v>10028</v>
      </c>
      <c r="B142" s="868" t="s">
        <v>3750</v>
      </c>
      <c r="C142" s="863">
        <v>266</v>
      </c>
      <c r="D142" s="863">
        <v>266</v>
      </c>
      <c r="E142" s="961">
        <v>267</v>
      </c>
      <c r="F142" s="962">
        <v>294</v>
      </c>
      <c r="G142" s="962">
        <v>294</v>
      </c>
      <c r="H142" s="962">
        <v>147</v>
      </c>
      <c r="I142" s="962">
        <v>28</v>
      </c>
      <c r="J142" s="962">
        <v>28</v>
      </c>
      <c r="K142" s="962">
        <v>11</v>
      </c>
      <c r="L142" s="962">
        <v>70</v>
      </c>
      <c r="M142" s="962">
        <v>0.17499999999999999</v>
      </c>
      <c r="N142" s="962"/>
      <c r="O142" s="963">
        <v>1</v>
      </c>
      <c r="P142" s="848" t="s">
        <v>3750</v>
      </c>
      <c r="Q142" s="865"/>
      <c r="R142" s="866"/>
      <c r="S142" s="869">
        <v>213</v>
      </c>
      <c r="T142" s="831">
        <v>2.62</v>
      </c>
      <c r="U142" s="831">
        <v>1570.1</v>
      </c>
      <c r="V142" s="831">
        <v>980</v>
      </c>
      <c r="W142" s="831">
        <v>225.4</v>
      </c>
    </row>
    <row r="143" spans="1:24">
      <c r="A143" s="861">
        <v>10029</v>
      </c>
      <c r="B143" s="923" t="s">
        <v>1091</v>
      </c>
      <c r="C143" s="863">
        <v>268</v>
      </c>
      <c r="D143" s="863">
        <v>268</v>
      </c>
      <c r="E143" s="961">
        <v>155</v>
      </c>
      <c r="F143" s="962">
        <v>39.200000000000003</v>
      </c>
      <c r="G143" s="962">
        <v>39.200000000000003</v>
      </c>
      <c r="H143" s="962">
        <v>19.600000000000001</v>
      </c>
      <c r="I143" s="962">
        <v>0.88</v>
      </c>
      <c r="J143" s="962">
        <v>0.88</v>
      </c>
      <c r="K143" s="962">
        <v>0.25</v>
      </c>
      <c r="L143" s="962">
        <v>20</v>
      </c>
      <c r="M143" s="962">
        <v>0.1</v>
      </c>
      <c r="N143" s="962"/>
      <c r="O143" s="963">
        <v>4</v>
      </c>
      <c r="P143" s="924" t="s">
        <v>668</v>
      </c>
      <c r="Q143" s="865"/>
      <c r="R143" s="866"/>
      <c r="S143" s="869">
        <v>214</v>
      </c>
      <c r="T143" s="831">
        <v>2.62</v>
      </c>
      <c r="U143" s="831">
        <v>1570.1</v>
      </c>
      <c r="V143" s="831">
        <v>980</v>
      </c>
      <c r="W143" s="831">
        <v>225.4</v>
      </c>
    </row>
    <row r="144" spans="1:24">
      <c r="A144" s="861">
        <v>10030</v>
      </c>
      <c r="B144" s="868" t="s">
        <v>3751</v>
      </c>
      <c r="C144" s="863">
        <v>261</v>
      </c>
      <c r="D144" s="863">
        <v>262</v>
      </c>
      <c r="E144" s="961">
        <v>269</v>
      </c>
      <c r="F144" s="962">
        <v>1225</v>
      </c>
      <c r="G144" s="962">
        <v>1225</v>
      </c>
      <c r="H144" s="962">
        <v>637</v>
      </c>
      <c r="I144" s="962">
        <v>225</v>
      </c>
      <c r="J144" s="962">
        <v>225</v>
      </c>
      <c r="K144" s="962">
        <v>196</v>
      </c>
      <c r="L144" s="962">
        <v>175</v>
      </c>
      <c r="M144" s="962">
        <v>0.23499999999999999</v>
      </c>
      <c r="N144" s="962"/>
      <c r="O144" s="963">
        <v>1</v>
      </c>
      <c r="P144" s="848" t="s">
        <v>3751</v>
      </c>
      <c r="Q144" s="865"/>
      <c r="R144" s="866"/>
      <c r="S144" s="869">
        <v>215</v>
      </c>
      <c r="T144" s="831">
        <v>0.87</v>
      </c>
      <c r="U144" s="831">
        <v>876.64</v>
      </c>
      <c r="V144" s="831">
        <v>705.6</v>
      </c>
      <c r="W144" s="831">
        <v>196</v>
      </c>
    </row>
    <row r="145" spans="1:23">
      <c r="A145" s="861">
        <v>10031</v>
      </c>
      <c r="B145" s="868" t="s">
        <v>3482</v>
      </c>
      <c r="C145" s="863">
        <v>261</v>
      </c>
      <c r="D145" s="863">
        <v>262</v>
      </c>
      <c r="E145" s="961">
        <v>269</v>
      </c>
      <c r="F145" s="962">
        <v>1225</v>
      </c>
      <c r="G145" s="962">
        <v>1225</v>
      </c>
      <c r="H145" s="962">
        <v>637</v>
      </c>
      <c r="I145" s="962">
        <v>225</v>
      </c>
      <c r="J145" s="962">
        <v>225</v>
      </c>
      <c r="K145" s="962">
        <v>196</v>
      </c>
      <c r="L145" s="962">
        <v>175</v>
      </c>
      <c r="M145" s="962">
        <v>0.25800000000000001</v>
      </c>
      <c r="N145" s="962"/>
      <c r="O145" s="963">
        <v>1</v>
      </c>
      <c r="P145" s="848" t="s">
        <v>3751</v>
      </c>
      <c r="Q145" s="865" t="s">
        <v>872</v>
      </c>
      <c r="R145" s="866"/>
      <c r="S145" s="869">
        <v>221</v>
      </c>
      <c r="T145" s="831">
        <v>3.67</v>
      </c>
      <c r="U145" s="831">
        <v>2822</v>
      </c>
      <c r="V145" s="831">
        <v>1960</v>
      </c>
      <c r="W145" s="831">
        <v>388</v>
      </c>
    </row>
    <row r="146" spans="1:23">
      <c r="A146" s="861">
        <v>10032</v>
      </c>
      <c r="B146" s="868" t="s">
        <v>2323</v>
      </c>
      <c r="C146" s="863">
        <v>270</v>
      </c>
      <c r="D146" s="863">
        <v>271</v>
      </c>
      <c r="E146" s="863">
        <v>103</v>
      </c>
      <c r="F146" s="855">
        <v>1156</v>
      </c>
      <c r="G146" s="855">
        <v>1156</v>
      </c>
      <c r="H146" s="855">
        <v>461</v>
      </c>
      <c r="I146" s="855">
        <v>114.9</v>
      </c>
      <c r="J146" s="855">
        <v>114.9</v>
      </c>
      <c r="K146" s="855">
        <v>40.18</v>
      </c>
      <c r="L146" s="855">
        <v>165</v>
      </c>
      <c r="M146" s="855">
        <v>0.36</v>
      </c>
      <c r="N146" s="855"/>
      <c r="O146" s="867">
        <v>3</v>
      </c>
      <c r="P146" s="848" t="s">
        <v>2323</v>
      </c>
      <c r="Q146" s="865"/>
      <c r="R146" s="866"/>
      <c r="S146" s="869">
        <v>222</v>
      </c>
      <c r="T146" s="831">
        <v>2.62</v>
      </c>
      <c r="U146" s="831">
        <v>2576</v>
      </c>
      <c r="V146" s="831">
        <v>1960</v>
      </c>
      <c r="W146" s="831">
        <v>396</v>
      </c>
    </row>
    <row r="147" spans="1:23">
      <c r="A147" s="861">
        <v>10033</v>
      </c>
      <c r="B147" s="868" t="s">
        <v>233</v>
      </c>
      <c r="C147" s="863">
        <v>272</v>
      </c>
      <c r="D147" s="863">
        <v>273</v>
      </c>
      <c r="E147" s="863">
        <v>209</v>
      </c>
      <c r="F147" s="855">
        <v>1632</v>
      </c>
      <c r="G147" s="855">
        <v>1632</v>
      </c>
      <c r="H147" s="855">
        <v>706</v>
      </c>
      <c r="I147" s="855">
        <v>195.5</v>
      </c>
      <c r="J147" s="855">
        <v>195.5</v>
      </c>
      <c r="K147" s="855">
        <v>78.400000000000006</v>
      </c>
      <c r="L147" s="855">
        <v>210</v>
      </c>
      <c r="M147" s="855">
        <v>0.38</v>
      </c>
      <c r="N147" s="855"/>
      <c r="O147" s="867">
        <v>3</v>
      </c>
      <c r="P147" s="848" t="s">
        <v>233</v>
      </c>
      <c r="Q147" s="865"/>
      <c r="R147" s="866"/>
      <c r="S147" s="869">
        <v>223</v>
      </c>
      <c r="T147" s="831">
        <v>2.7</v>
      </c>
      <c r="U147" s="831">
        <v>1315</v>
      </c>
      <c r="V147" s="831">
        <v>892</v>
      </c>
      <c r="W147" s="831">
        <v>174</v>
      </c>
    </row>
    <row r="148" spans="1:23">
      <c r="A148" s="861">
        <v>10034</v>
      </c>
      <c r="B148" s="868" t="s">
        <v>2764</v>
      </c>
      <c r="C148" s="863">
        <v>274</v>
      </c>
      <c r="D148" s="863">
        <v>275</v>
      </c>
      <c r="E148" s="863">
        <v>276</v>
      </c>
      <c r="F148" s="855">
        <v>1632</v>
      </c>
      <c r="G148" s="855">
        <v>1632</v>
      </c>
      <c r="H148" s="855">
        <v>706</v>
      </c>
      <c r="I148" s="855">
        <v>225.4</v>
      </c>
      <c r="J148" s="855">
        <v>225.4</v>
      </c>
      <c r="K148" s="855">
        <v>196</v>
      </c>
      <c r="L148" s="855">
        <v>210</v>
      </c>
      <c r="M148" s="855">
        <v>0.38</v>
      </c>
      <c r="N148" s="855"/>
      <c r="O148" s="867">
        <v>3</v>
      </c>
      <c r="P148" s="848" t="s">
        <v>2764</v>
      </c>
      <c r="Q148" s="865"/>
      <c r="R148" s="866"/>
      <c r="S148" s="869">
        <v>224</v>
      </c>
      <c r="T148" s="831">
        <v>2.1800000000000002</v>
      </c>
      <c r="U148" s="831">
        <v>4493.63</v>
      </c>
      <c r="V148" s="831">
        <v>3381</v>
      </c>
      <c r="W148" s="831">
        <v>1812.66</v>
      </c>
    </row>
    <row r="149" spans="1:23">
      <c r="A149" s="861">
        <v>10035</v>
      </c>
      <c r="B149" s="868" t="s">
        <v>1292</v>
      </c>
      <c r="C149" s="863">
        <v>277</v>
      </c>
      <c r="D149" s="863">
        <v>278</v>
      </c>
      <c r="E149" s="863">
        <v>279</v>
      </c>
      <c r="F149" s="855">
        <v>1156</v>
      </c>
      <c r="G149" s="855">
        <v>1156</v>
      </c>
      <c r="H149" s="855">
        <v>461</v>
      </c>
      <c r="I149" s="855">
        <v>114.9</v>
      </c>
      <c r="J149" s="855">
        <v>114.9</v>
      </c>
      <c r="K149" s="855">
        <v>40.18</v>
      </c>
      <c r="L149" s="855">
        <v>165</v>
      </c>
      <c r="M149" s="855">
        <v>0.36</v>
      </c>
      <c r="N149" s="855"/>
      <c r="O149" s="867">
        <v>3</v>
      </c>
      <c r="P149" s="848" t="s">
        <v>1292</v>
      </c>
      <c r="Q149" s="865"/>
      <c r="R149" s="866"/>
      <c r="S149" s="869">
        <v>225</v>
      </c>
      <c r="T149" s="831">
        <v>2.1800000000000002</v>
      </c>
      <c r="U149" s="831">
        <v>4493.63</v>
      </c>
      <c r="V149" s="831">
        <v>3381</v>
      </c>
      <c r="W149" s="831">
        <v>1891.7</v>
      </c>
    </row>
    <row r="150" spans="1:23">
      <c r="A150" s="861">
        <v>10036</v>
      </c>
      <c r="B150" s="868" t="s">
        <v>1907</v>
      </c>
      <c r="C150" s="863">
        <v>280</v>
      </c>
      <c r="D150" s="863">
        <v>281</v>
      </c>
      <c r="E150" s="863">
        <v>282</v>
      </c>
      <c r="F150" s="855">
        <v>1617</v>
      </c>
      <c r="G150" s="855">
        <v>1617</v>
      </c>
      <c r="H150" s="855">
        <v>706</v>
      </c>
      <c r="I150" s="855">
        <v>194.1</v>
      </c>
      <c r="J150" s="855">
        <v>194.1</v>
      </c>
      <c r="K150" s="855">
        <v>78.400000000000006</v>
      </c>
      <c r="L150" s="855">
        <v>200</v>
      </c>
      <c r="M150" s="855">
        <v>0.38</v>
      </c>
      <c r="N150" s="855"/>
      <c r="O150" s="867">
        <v>3</v>
      </c>
      <c r="P150" s="848" t="s">
        <v>1907</v>
      </c>
      <c r="Q150" s="865"/>
      <c r="R150" s="866"/>
      <c r="S150" s="869">
        <v>226</v>
      </c>
      <c r="T150" s="831">
        <v>2.2000000000000002</v>
      </c>
      <c r="U150" s="831">
        <v>2429</v>
      </c>
      <c r="V150" s="831">
        <v>1725</v>
      </c>
      <c r="W150" s="831">
        <v>685.28</v>
      </c>
    </row>
    <row r="151" spans="1:23">
      <c r="A151" s="861">
        <v>10037</v>
      </c>
      <c r="B151" s="868" t="s">
        <v>695</v>
      </c>
      <c r="C151" s="863">
        <v>283</v>
      </c>
      <c r="D151" s="863">
        <v>284</v>
      </c>
      <c r="E151" s="863">
        <v>285</v>
      </c>
      <c r="F151" s="855">
        <v>2458</v>
      </c>
      <c r="G151" s="855">
        <v>2458</v>
      </c>
      <c r="H151" s="855">
        <v>891.8</v>
      </c>
      <c r="I151" s="855">
        <v>325.76</v>
      </c>
      <c r="J151" s="855">
        <v>325.76</v>
      </c>
      <c r="K151" s="855">
        <v>156.80000000000001</v>
      </c>
      <c r="L151" s="855">
        <v>350</v>
      </c>
      <c r="M151" s="855">
        <v>0.41499999999999998</v>
      </c>
      <c r="N151" s="855"/>
      <c r="O151" s="867">
        <v>3</v>
      </c>
      <c r="P151" s="848" t="s">
        <v>695</v>
      </c>
      <c r="Q151" s="865" t="s">
        <v>1889</v>
      </c>
      <c r="R151" s="866"/>
      <c r="S151" s="869">
        <v>227</v>
      </c>
      <c r="T151" s="831">
        <v>5.67</v>
      </c>
      <c r="U151" s="831">
        <v>1366</v>
      </c>
      <c r="V151" s="831">
        <v>921</v>
      </c>
      <c r="W151" s="831">
        <v>131</v>
      </c>
    </row>
    <row r="152" spans="1:23">
      <c r="A152" s="861">
        <v>10038</v>
      </c>
      <c r="B152" s="868" t="s">
        <v>1568</v>
      </c>
      <c r="C152" s="863">
        <v>286</v>
      </c>
      <c r="D152" s="863">
        <v>287</v>
      </c>
      <c r="E152" s="863">
        <v>288</v>
      </c>
      <c r="F152" s="855">
        <v>2458</v>
      </c>
      <c r="G152" s="855">
        <v>2458</v>
      </c>
      <c r="H152" s="855">
        <v>891.8</v>
      </c>
      <c r="I152" s="855">
        <v>392</v>
      </c>
      <c r="J152" s="855">
        <v>392</v>
      </c>
      <c r="K152" s="855">
        <v>352.8</v>
      </c>
      <c r="L152" s="855">
        <v>350</v>
      </c>
      <c r="M152" s="855">
        <v>0.41499999999999998</v>
      </c>
      <c r="N152" s="855"/>
      <c r="O152" s="867">
        <v>3</v>
      </c>
      <c r="P152" s="848" t="s">
        <v>1568</v>
      </c>
      <c r="Q152" s="865" t="s">
        <v>1889</v>
      </c>
      <c r="R152" s="866"/>
      <c r="S152" s="869">
        <v>228</v>
      </c>
      <c r="T152" s="831">
        <v>3.91</v>
      </c>
      <c r="U152" s="831">
        <v>1228</v>
      </c>
      <c r="V152" s="831">
        <v>921</v>
      </c>
      <c r="W152" s="831">
        <v>78.400000000000006</v>
      </c>
    </row>
    <row r="153" spans="1:23">
      <c r="A153" s="861">
        <v>10039</v>
      </c>
      <c r="B153" s="868" t="s">
        <v>1</v>
      </c>
      <c r="C153" s="863">
        <v>156</v>
      </c>
      <c r="D153" s="863">
        <v>156</v>
      </c>
      <c r="E153" s="863">
        <v>157</v>
      </c>
      <c r="F153" s="855">
        <v>22</v>
      </c>
      <c r="G153" s="855">
        <v>22</v>
      </c>
      <c r="H153" s="855">
        <v>9.8000000000000007</v>
      </c>
      <c r="I153" s="855">
        <v>0.63</v>
      </c>
      <c r="J153" s="855">
        <v>0.63</v>
      </c>
      <c r="K153" s="855">
        <v>0.15</v>
      </c>
      <c r="L153" s="855">
        <v>10</v>
      </c>
      <c r="M153" s="855">
        <v>0.1</v>
      </c>
      <c r="N153" s="855"/>
      <c r="O153" s="867">
        <v>4</v>
      </c>
      <c r="P153" s="848" t="s">
        <v>1</v>
      </c>
      <c r="Q153" s="865"/>
      <c r="R153" s="866"/>
      <c r="S153" s="869">
        <v>229</v>
      </c>
      <c r="T153" s="848">
        <v>4.2</v>
      </c>
      <c r="U153" s="831">
        <v>630</v>
      </c>
      <c r="V153" s="831">
        <v>461</v>
      </c>
      <c r="W153" s="848">
        <v>40.18</v>
      </c>
    </row>
    <row r="154" spans="1:23">
      <c r="A154" s="861">
        <v>10040</v>
      </c>
      <c r="B154" s="868" t="s">
        <v>3118</v>
      </c>
      <c r="C154" s="863">
        <v>151</v>
      </c>
      <c r="D154" s="863">
        <v>152</v>
      </c>
      <c r="E154" s="863">
        <v>153</v>
      </c>
      <c r="F154" s="855">
        <v>15.7</v>
      </c>
      <c r="G154" s="855">
        <v>9.8000000000000007</v>
      </c>
      <c r="H154" s="855">
        <v>5.9</v>
      </c>
      <c r="I154" s="855">
        <v>0.63</v>
      </c>
      <c r="J154" s="855">
        <v>0.22</v>
      </c>
      <c r="K154" s="855">
        <v>6.0999999999999999E-2</v>
      </c>
      <c r="L154" s="855">
        <v>6</v>
      </c>
      <c r="M154" s="855">
        <v>0.1</v>
      </c>
      <c r="N154" s="855"/>
      <c r="O154" s="867">
        <v>4</v>
      </c>
      <c r="P154" s="848" t="s">
        <v>3118</v>
      </c>
      <c r="Q154" s="865"/>
      <c r="R154" s="866"/>
      <c r="S154" s="869">
        <v>230</v>
      </c>
      <c r="T154" s="831">
        <v>5.67</v>
      </c>
      <c r="U154" s="831">
        <v>1630</v>
      </c>
      <c r="V154" s="831">
        <v>1075</v>
      </c>
      <c r="W154" s="831">
        <v>140</v>
      </c>
    </row>
    <row r="155" spans="1:23">
      <c r="A155" s="861">
        <v>10041</v>
      </c>
      <c r="B155" s="868" t="s">
        <v>1379</v>
      </c>
      <c r="C155" s="863">
        <v>151</v>
      </c>
      <c r="D155" s="863">
        <v>152</v>
      </c>
      <c r="E155" s="863">
        <v>153</v>
      </c>
      <c r="F155" s="855">
        <v>15.7</v>
      </c>
      <c r="G155" s="855">
        <v>9.8000000000000007</v>
      </c>
      <c r="H155" s="855">
        <v>5.9</v>
      </c>
      <c r="I155" s="855">
        <v>0.63</v>
      </c>
      <c r="J155" s="855">
        <v>0.22</v>
      </c>
      <c r="K155" s="855">
        <v>6.0999999999999999E-2</v>
      </c>
      <c r="L155" s="855">
        <v>6</v>
      </c>
      <c r="M155" s="855">
        <v>0.1</v>
      </c>
      <c r="N155" s="855"/>
      <c r="O155" s="867">
        <v>4</v>
      </c>
      <c r="P155" s="848" t="s">
        <v>1379</v>
      </c>
      <c r="Q155" s="865"/>
      <c r="R155" s="866"/>
      <c r="S155" s="869">
        <v>231</v>
      </c>
      <c r="T155" s="831">
        <v>3.91</v>
      </c>
      <c r="U155" s="831">
        <v>1458</v>
      </c>
      <c r="V155" s="831">
        <v>1075</v>
      </c>
      <c r="W155" s="831">
        <v>157</v>
      </c>
    </row>
    <row r="156" spans="1:23">
      <c r="A156" s="861">
        <v>10042</v>
      </c>
      <c r="B156" s="868" t="s">
        <v>1708</v>
      </c>
      <c r="C156" s="863">
        <v>154</v>
      </c>
      <c r="D156" s="863">
        <v>154</v>
      </c>
      <c r="E156" s="863">
        <v>289</v>
      </c>
      <c r="F156" s="855">
        <v>39.200000000000003</v>
      </c>
      <c r="G156" s="855">
        <v>39.200000000000003</v>
      </c>
      <c r="H156" s="855">
        <v>19.600000000000001</v>
      </c>
      <c r="I156" s="855">
        <v>0.88</v>
      </c>
      <c r="J156" s="855">
        <v>0.88</v>
      </c>
      <c r="K156" s="855">
        <v>0.25</v>
      </c>
      <c r="L156" s="855">
        <v>20</v>
      </c>
      <c r="M156" s="855">
        <v>0.1</v>
      </c>
      <c r="N156" s="855"/>
      <c r="O156" s="867">
        <v>4</v>
      </c>
      <c r="P156" s="848" t="s">
        <v>1708</v>
      </c>
      <c r="Q156" s="865"/>
      <c r="R156" s="866"/>
      <c r="S156" s="869">
        <v>232</v>
      </c>
      <c r="T156" s="831">
        <v>4.08</v>
      </c>
      <c r="U156" s="831">
        <v>1970</v>
      </c>
      <c r="V156" s="831">
        <v>1411</v>
      </c>
      <c r="W156" s="831">
        <v>252</v>
      </c>
    </row>
    <row r="157" spans="1:23">
      <c r="A157" s="861">
        <v>10043</v>
      </c>
      <c r="B157" s="868" t="s">
        <v>1888</v>
      </c>
      <c r="C157" s="863">
        <v>151</v>
      </c>
      <c r="D157" s="863">
        <v>152</v>
      </c>
      <c r="E157" s="863">
        <v>153</v>
      </c>
      <c r="F157" s="855">
        <v>15.7</v>
      </c>
      <c r="G157" s="855">
        <v>9.8000000000000007</v>
      </c>
      <c r="H157" s="855">
        <v>5.9</v>
      </c>
      <c r="I157" s="855">
        <v>0.63</v>
      </c>
      <c r="J157" s="855">
        <v>0.22</v>
      </c>
      <c r="K157" s="855">
        <v>6.0999999999999999E-2</v>
      </c>
      <c r="L157" s="855">
        <v>6</v>
      </c>
      <c r="M157" s="855">
        <v>0.1</v>
      </c>
      <c r="N157" s="855"/>
      <c r="O157" s="867">
        <v>4</v>
      </c>
      <c r="P157" s="848" t="s">
        <v>2077</v>
      </c>
      <c r="Q157" s="865" t="s">
        <v>1889</v>
      </c>
      <c r="R157" s="866"/>
      <c r="S157" s="869">
        <v>233</v>
      </c>
      <c r="T157" s="831">
        <v>2.78</v>
      </c>
      <c r="U157" s="831">
        <v>1792</v>
      </c>
      <c r="V157" s="831">
        <v>1411</v>
      </c>
      <c r="W157" s="831">
        <v>232</v>
      </c>
    </row>
    <row r="158" spans="1:23">
      <c r="A158" s="861">
        <v>10044</v>
      </c>
      <c r="B158" s="868" t="s">
        <v>39</v>
      </c>
      <c r="C158" s="863">
        <v>151</v>
      </c>
      <c r="D158" s="863">
        <v>290</v>
      </c>
      <c r="E158" s="863">
        <v>153</v>
      </c>
      <c r="F158" s="855">
        <v>15.7</v>
      </c>
      <c r="G158" s="855">
        <v>9.8000000000000007</v>
      </c>
      <c r="H158" s="855">
        <v>5.9</v>
      </c>
      <c r="I158" s="855">
        <v>0.63</v>
      </c>
      <c r="J158" s="855">
        <v>0.17</v>
      </c>
      <c r="K158" s="855">
        <v>6.0999999999999999E-2</v>
      </c>
      <c r="L158" s="855">
        <v>6</v>
      </c>
      <c r="M158" s="855">
        <v>0.1</v>
      </c>
      <c r="N158" s="855"/>
      <c r="O158" s="867">
        <v>4</v>
      </c>
      <c r="P158" s="848" t="s">
        <v>2077</v>
      </c>
      <c r="Q158" s="865" t="s">
        <v>1198</v>
      </c>
      <c r="R158" s="866"/>
      <c r="S158" s="869">
        <v>234</v>
      </c>
      <c r="T158" s="831">
        <v>2.94</v>
      </c>
      <c r="U158" s="831">
        <v>859</v>
      </c>
      <c r="V158" s="831">
        <v>686</v>
      </c>
      <c r="W158" s="831">
        <v>60</v>
      </c>
    </row>
    <row r="159" spans="1:23">
      <c r="A159" s="861">
        <v>10045</v>
      </c>
      <c r="B159" s="868" t="s">
        <v>1880</v>
      </c>
      <c r="C159" s="863">
        <v>291</v>
      </c>
      <c r="D159" s="863">
        <v>292</v>
      </c>
      <c r="E159" s="863">
        <v>293</v>
      </c>
      <c r="F159" s="855">
        <v>921</v>
      </c>
      <c r="G159" s="855">
        <v>921</v>
      </c>
      <c r="H159" s="855">
        <v>461</v>
      </c>
      <c r="I159" s="855">
        <v>117.6</v>
      </c>
      <c r="J159" s="855">
        <v>117.6</v>
      </c>
      <c r="K159" s="855">
        <v>98</v>
      </c>
      <c r="L159" s="855">
        <v>165</v>
      </c>
      <c r="M159" s="855">
        <v>0.215</v>
      </c>
      <c r="N159" s="855"/>
      <c r="O159" s="867">
        <v>1</v>
      </c>
      <c r="P159" s="848" t="s">
        <v>1880</v>
      </c>
      <c r="Q159" s="865"/>
      <c r="R159" s="866"/>
      <c r="S159" s="869">
        <v>235</v>
      </c>
      <c r="T159" s="831">
        <v>8.14</v>
      </c>
      <c r="U159" s="831">
        <v>829</v>
      </c>
      <c r="V159" s="831">
        <v>529</v>
      </c>
      <c r="W159" s="831">
        <v>77</v>
      </c>
    </row>
    <row r="160" spans="1:23">
      <c r="A160" s="861">
        <v>10046</v>
      </c>
      <c r="B160" s="868" t="s">
        <v>2030</v>
      </c>
      <c r="C160" s="863">
        <v>291</v>
      </c>
      <c r="D160" s="863">
        <v>292</v>
      </c>
      <c r="E160" s="863">
        <v>293</v>
      </c>
      <c r="F160" s="855">
        <v>921</v>
      </c>
      <c r="G160" s="855">
        <v>921</v>
      </c>
      <c r="H160" s="855">
        <v>461</v>
      </c>
      <c r="I160" s="855">
        <v>117.6</v>
      </c>
      <c r="J160" s="855">
        <v>117.6</v>
      </c>
      <c r="K160" s="855">
        <v>98</v>
      </c>
      <c r="L160" s="855">
        <v>165</v>
      </c>
      <c r="M160" s="855">
        <v>0.23799999999999999</v>
      </c>
      <c r="N160" s="855"/>
      <c r="O160" s="867">
        <v>1</v>
      </c>
      <c r="P160" s="848" t="s">
        <v>1880</v>
      </c>
      <c r="Q160" s="865" t="s">
        <v>3783</v>
      </c>
      <c r="R160" s="866"/>
      <c r="S160" s="869">
        <v>236</v>
      </c>
      <c r="T160" s="831">
        <v>5.82</v>
      </c>
      <c r="U160" s="831">
        <v>744</v>
      </c>
      <c r="V160" s="831">
        <v>529</v>
      </c>
      <c r="W160" s="831">
        <v>99</v>
      </c>
    </row>
    <row r="161" spans="1:23">
      <c r="A161" s="861">
        <v>10047</v>
      </c>
      <c r="B161" s="868" t="s">
        <v>815</v>
      </c>
      <c r="C161" s="863">
        <v>294</v>
      </c>
      <c r="D161" s="863">
        <v>295</v>
      </c>
      <c r="E161" s="863" t="s">
        <v>32</v>
      </c>
      <c r="F161" s="855">
        <v>441</v>
      </c>
      <c r="G161" s="855">
        <v>245</v>
      </c>
      <c r="H161" s="855" t="s">
        <v>32</v>
      </c>
      <c r="I161" s="855">
        <v>39.200000000000003</v>
      </c>
      <c r="J161" s="855">
        <v>15.7</v>
      </c>
      <c r="K161" s="855" t="s">
        <v>32</v>
      </c>
      <c r="L161" s="855">
        <v>100</v>
      </c>
      <c r="M161" s="855">
        <v>0.215</v>
      </c>
      <c r="N161" s="855"/>
      <c r="O161" s="867">
        <v>1</v>
      </c>
      <c r="P161" s="848" t="s">
        <v>815</v>
      </c>
      <c r="Q161" s="865"/>
      <c r="R161" s="866"/>
      <c r="S161" s="869">
        <v>237</v>
      </c>
      <c r="T161" s="831">
        <v>8.14</v>
      </c>
      <c r="U161" s="831">
        <v>354</v>
      </c>
      <c r="V161" s="831">
        <v>274</v>
      </c>
      <c r="W161" s="831">
        <v>33</v>
      </c>
    </row>
    <row r="162" spans="1:23">
      <c r="A162" s="861">
        <v>10048</v>
      </c>
      <c r="B162" s="868" t="s">
        <v>2357</v>
      </c>
      <c r="C162" s="863">
        <v>294</v>
      </c>
      <c r="D162" s="863">
        <v>295</v>
      </c>
      <c r="E162" s="863" t="s">
        <v>32</v>
      </c>
      <c r="F162" s="855">
        <v>441</v>
      </c>
      <c r="G162" s="855">
        <v>245</v>
      </c>
      <c r="H162" s="855" t="s">
        <v>32</v>
      </c>
      <c r="I162" s="855">
        <v>39.200000000000003</v>
      </c>
      <c r="J162" s="855">
        <v>15.7</v>
      </c>
      <c r="K162" s="855" t="s">
        <v>32</v>
      </c>
      <c r="L162" s="855">
        <v>100</v>
      </c>
      <c r="M162" s="855">
        <v>0.23799999999999999</v>
      </c>
      <c r="N162" s="855"/>
      <c r="O162" s="867">
        <v>1</v>
      </c>
      <c r="P162" s="848" t="s">
        <v>815</v>
      </c>
      <c r="Q162" s="865" t="s">
        <v>2358</v>
      </c>
      <c r="R162" s="866"/>
      <c r="S162" s="869">
        <v>238</v>
      </c>
      <c r="T162" s="831">
        <v>6.11</v>
      </c>
      <c r="U162" s="831">
        <v>751</v>
      </c>
      <c r="V162" s="831">
        <v>519</v>
      </c>
      <c r="W162" s="831">
        <v>77</v>
      </c>
    </row>
    <row r="163" spans="1:23">
      <c r="A163" s="861">
        <v>10049</v>
      </c>
      <c r="B163" s="868" t="s">
        <v>1440</v>
      </c>
      <c r="C163" s="863">
        <v>296</v>
      </c>
      <c r="D163" s="863">
        <v>297</v>
      </c>
      <c r="E163" s="863">
        <v>298</v>
      </c>
      <c r="F163" s="855">
        <v>833</v>
      </c>
      <c r="G163" s="855">
        <v>833</v>
      </c>
      <c r="H163" s="855">
        <v>421</v>
      </c>
      <c r="I163" s="855">
        <v>78.400000000000006</v>
      </c>
      <c r="J163" s="855">
        <v>78.400000000000006</v>
      </c>
      <c r="K163" s="855">
        <v>40.200000000000003</v>
      </c>
      <c r="L163" s="855">
        <v>150</v>
      </c>
      <c r="M163" s="855">
        <v>0.215</v>
      </c>
      <c r="N163" s="855"/>
      <c r="O163" s="867">
        <v>1</v>
      </c>
      <c r="P163" s="848" t="s">
        <v>1440</v>
      </c>
      <c r="Q163" s="865"/>
      <c r="R163" s="866"/>
      <c r="S163" s="869">
        <v>239</v>
      </c>
      <c r="T163" s="831">
        <v>5.82</v>
      </c>
      <c r="U163" s="831">
        <v>740</v>
      </c>
      <c r="V163" s="831">
        <v>519</v>
      </c>
      <c r="W163" s="831">
        <v>99</v>
      </c>
    </row>
    <row r="164" spans="1:23">
      <c r="A164" s="861">
        <v>10050</v>
      </c>
      <c r="B164" s="868" t="s">
        <v>1441</v>
      </c>
      <c r="C164" s="863">
        <v>296</v>
      </c>
      <c r="D164" s="863">
        <v>297</v>
      </c>
      <c r="E164" s="863">
        <v>298</v>
      </c>
      <c r="F164" s="855">
        <v>833</v>
      </c>
      <c r="G164" s="855">
        <v>833</v>
      </c>
      <c r="H164" s="855">
        <v>421</v>
      </c>
      <c r="I164" s="855">
        <v>78.400000000000006</v>
      </c>
      <c r="J164" s="855">
        <v>78.400000000000006</v>
      </c>
      <c r="K164" s="855">
        <v>40.200000000000003</v>
      </c>
      <c r="L164" s="855">
        <v>150</v>
      </c>
      <c r="M164" s="855">
        <v>0.23799999999999999</v>
      </c>
      <c r="N164" s="855"/>
      <c r="O164" s="867">
        <v>1</v>
      </c>
      <c r="P164" s="848" t="s">
        <v>1440</v>
      </c>
      <c r="Q164" s="865" t="s">
        <v>3266</v>
      </c>
      <c r="R164" s="866"/>
      <c r="S164" s="869">
        <v>240</v>
      </c>
      <c r="T164" s="831">
        <v>8.14</v>
      </c>
      <c r="U164" s="831">
        <v>347</v>
      </c>
      <c r="V164" s="831">
        <v>265</v>
      </c>
      <c r="W164" s="831">
        <v>33</v>
      </c>
    </row>
    <row r="165" spans="1:23">
      <c r="A165" s="861">
        <v>10051</v>
      </c>
      <c r="B165" s="868" t="s">
        <v>1496</v>
      </c>
      <c r="C165" s="863">
        <v>299</v>
      </c>
      <c r="D165" s="863">
        <v>300</v>
      </c>
      <c r="E165" s="863">
        <v>301</v>
      </c>
      <c r="F165" s="855">
        <v>921</v>
      </c>
      <c r="G165" s="855">
        <v>921</v>
      </c>
      <c r="H165" s="855">
        <v>461</v>
      </c>
      <c r="I165" s="855">
        <v>78.400000000000006</v>
      </c>
      <c r="J165" s="855">
        <v>78.400000000000006</v>
      </c>
      <c r="K165" s="855">
        <v>40.200000000000003</v>
      </c>
      <c r="L165" s="855">
        <v>170</v>
      </c>
      <c r="M165" s="855">
        <v>0.215</v>
      </c>
      <c r="N165" s="855"/>
      <c r="O165" s="867">
        <v>1</v>
      </c>
      <c r="P165" s="848" t="s">
        <v>1496</v>
      </c>
      <c r="Q165" s="865"/>
      <c r="R165" s="866"/>
      <c r="S165" s="869">
        <v>241</v>
      </c>
      <c r="T165" s="831">
        <v>8.14</v>
      </c>
      <c r="U165" s="831">
        <v>828</v>
      </c>
      <c r="V165" s="831">
        <v>559</v>
      </c>
      <c r="W165" s="831">
        <v>77</v>
      </c>
    </row>
    <row r="166" spans="1:23">
      <c r="A166" s="861">
        <v>10052</v>
      </c>
      <c r="B166" s="868" t="s">
        <v>1497</v>
      </c>
      <c r="C166" s="863">
        <v>299</v>
      </c>
      <c r="D166" s="863">
        <v>300</v>
      </c>
      <c r="E166" s="863">
        <v>301</v>
      </c>
      <c r="F166" s="855">
        <v>921</v>
      </c>
      <c r="G166" s="855">
        <v>921</v>
      </c>
      <c r="H166" s="855">
        <v>461</v>
      </c>
      <c r="I166" s="855">
        <v>78.400000000000006</v>
      </c>
      <c r="J166" s="855">
        <v>78.400000000000006</v>
      </c>
      <c r="K166" s="855">
        <v>40.200000000000003</v>
      </c>
      <c r="L166" s="855">
        <v>170</v>
      </c>
      <c r="M166" s="855">
        <v>0.23799999999999999</v>
      </c>
      <c r="N166" s="855"/>
      <c r="O166" s="867">
        <v>1</v>
      </c>
      <c r="P166" s="848" t="s">
        <v>1496</v>
      </c>
      <c r="Q166" s="865" t="s">
        <v>438</v>
      </c>
      <c r="R166" s="866"/>
      <c r="S166" s="869">
        <v>242</v>
      </c>
      <c r="T166" s="831">
        <v>5.82</v>
      </c>
      <c r="U166" s="831">
        <v>751</v>
      </c>
      <c r="V166" s="831">
        <v>559</v>
      </c>
      <c r="W166" s="831">
        <v>99</v>
      </c>
    </row>
    <row r="167" spans="1:23">
      <c r="A167" s="861">
        <v>10053</v>
      </c>
      <c r="B167" s="868" t="s">
        <v>2738</v>
      </c>
      <c r="C167" s="863">
        <v>302</v>
      </c>
      <c r="D167" s="863">
        <v>302</v>
      </c>
      <c r="E167" s="863">
        <v>303</v>
      </c>
      <c r="F167" s="855">
        <v>11.9</v>
      </c>
      <c r="G167" s="855">
        <v>11.9</v>
      </c>
      <c r="H167" s="855">
        <v>6.7</v>
      </c>
      <c r="I167" s="855">
        <v>0.3</v>
      </c>
      <c r="J167" s="855">
        <v>0.3</v>
      </c>
      <c r="K167" s="855">
        <v>0.1</v>
      </c>
      <c r="L167" s="855">
        <v>5</v>
      </c>
      <c r="M167" s="855">
        <v>0.08</v>
      </c>
      <c r="N167" s="855"/>
      <c r="O167" s="867">
        <v>3</v>
      </c>
      <c r="P167" s="848" t="s">
        <v>2738</v>
      </c>
      <c r="Q167" s="865"/>
      <c r="R167" s="866"/>
      <c r="S167" s="869">
        <v>243</v>
      </c>
      <c r="T167" s="831">
        <v>8.14</v>
      </c>
      <c r="U167" s="831">
        <v>353</v>
      </c>
      <c r="V167" s="831">
        <v>284</v>
      </c>
      <c r="W167" s="831">
        <v>33</v>
      </c>
    </row>
    <row r="168" spans="1:23">
      <c r="A168" s="861">
        <v>10054</v>
      </c>
      <c r="B168" s="868" t="s">
        <v>44</v>
      </c>
      <c r="C168" s="863">
        <v>302</v>
      </c>
      <c r="D168" s="863">
        <v>302</v>
      </c>
      <c r="E168" s="863">
        <v>303</v>
      </c>
      <c r="F168" s="855">
        <v>11.9</v>
      </c>
      <c r="G168" s="855">
        <v>11.9</v>
      </c>
      <c r="H168" s="855">
        <v>6.7</v>
      </c>
      <c r="I168" s="855">
        <v>0.3</v>
      </c>
      <c r="J168" s="855">
        <v>0.3</v>
      </c>
      <c r="K168" s="855">
        <v>0.1</v>
      </c>
      <c r="L168" s="855">
        <v>5</v>
      </c>
      <c r="M168" s="855">
        <v>0.08</v>
      </c>
      <c r="N168" s="855"/>
      <c r="O168" s="867">
        <v>3</v>
      </c>
      <c r="P168" s="848" t="s">
        <v>44</v>
      </c>
      <c r="Q168" s="865"/>
      <c r="R168" s="866"/>
      <c r="S168" s="869">
        <v>244</v>
      </c>
      <c r="T168" s="871">
        <v>2.5603440856195427</v>
      </c>
      <c r="U168" s="854">
        <v>2963.6548815628612</v>
      </c>
      <c r="V168" s="854">
        <v>1960</v>
      </c>
      <c r="W168" s="854">
        <v>392</v>
      </c>
    </row>
    <row r="169" spans="1:23">
      <c r="A169" s="861">
        <v>10055</v>
      </c>
      <c r="B169" s="868" t="s">
        <v>2995</v>
      </c>
      <c r="C169" s="863">
        <v>302</v>
      </c>
      <c r="D169" s="863">
        <v>302</v>
      </c>
      <c r="E169" s="863">
        <v>303</v>
      </c>
      <c r="F169" s="855">
        <v>11.9</v>
      </c>
      <c r="G169" s="855">
        <v>11.9</v>
      </c>
      <c r="H169" s="855">
        <v>6.7</v>
      </c>
      <c r="I169" s="855">
        <v>0.3</v>
      </c>
      <c r="J169" s="855">
        <v>0.3</v>
      </c>
      <c r="K169" s="855">
        <v>0.1</v>
      </c>
      <c r="L169" s="855">
        <v>5</v>
      </c>
      <c r="M169" s="855">
        <v>0.08</v>
      </c>
      <c r="N169" s="855"/>
      <c r="O169" s="867">
        <v>3</v>
      </c>
      <c r="P169" s="848" t="s">
        <v>2995</v>
      </c>
      <c r="Q169" s="865"/>
      <c r="R169" s="866"/>
      <c r="S169" s="869">
        <v>245</v>
      </c>
      <c r="T169" s="871">
        <v>1.8564088778869108</v>
      </c>
      <c r="U169" s="854">
        <v>2687.7122801316696</v>
      </c>
      <c r="V169" s="854">
        <v>1960</v>
      </c>
      <c r="W169" s="854">
        <v>396</v>
      </c>
    </row>
    <row r="170" spans="1:23">
      <c r="A170" s="861">
        <v>10056</v>
      </c>
      <c r="B170" s="868" t="s">
        <v>3396</v>
      </c>
      <c r="C170" s="863">
        <v>304</v>
      </c>
      <c r="D170" s="863">
        <v>303</v>
      </c>
      <c r="E170" s="863" t="s">
        <v>32</v>
      </c>
      <c r="F170" s="855">
        <v>11.9</v>
      </c>
      <c r="G170" s="855">
        <v>6.7</v>
      </c>
      <c r="H170" s="855" t="s">
        <v>32</v>
      </c>
      <c r="I170" s="855">
        <v>0.3</v>
      </c>
      <c r="J170" s="855">
        <v>0.1</v>
      </c>
      <c r="K170" s="855" t="s">
        <v>32</v>
      </c>
      <c r="L170" s="855">
        <v>5</v>
      </c>
      <c r="M170" s="855">
        <v>0.08</v>
      </c>
      <c r="N170" s="855"/>
      <c r="O170" s="867">
        <v>3</v>
      </c>
      <c r="P170" s="848" t="s">
        <v>3396</v>
      </c>
      <c r="Q170" s="865"/>
      <c r="R170" s="866"/>
      <c r="S170" s="869">
        <v>246</v>
      </c>
      <c r="T170" s="871">
        <v>1.5645306547308413</v>
      </c>
      <c r="U170" s="854">
        <v>1443.7664149890409</v>
      </c>
      <c r="V170" s="854">
        <v>891.8</v>
      </c>
      <c r="W170" s="854">
        <v>353</v>
      </c>
    </row>
    <row r="171" spans="1:23">
      <c r="A171" s="861">
        <v>10057</v>
      </c>
      <c r="B171" s="868" t="s">
        <v>3497</v>
      </c>
      <c r="C171" s="863">
        <v>302</v>
      </c>
      <c r="D171" s="863">
        <v>302</v>
      </c>
      <c r="E171" s="863">
        <v>303</v>
      </c>
      <c r="F171" s="855">
        <v>11.9</v>
      </c>
      <c r="G171" s="855">
        <v>11.9</v>
      </c>
      <c r="H171" s="855">
        <v>6.7</v>
      </c>
      <c r="I171" s="855">
        <v>0.3</v>
      </c>
      <c r="J171" s="855">
        <v>0.3</v>
      </c>
      <c r="K171" s="855">
        <v>0.1</v>
      </c>
      <c r="L171" s="855">
        <v>5</v>
      </c>
      <c r="M171" s="855">
        <v>0.08</v>
      </c>
      <c r="N171" s="855"/>
      <c r="O171" s="867">
        <v>3</v>
      </c>
      <c r="P171" s="848" t="s">
        <v>3497</v>
      </c>
      <c r="Q171" s="865"/>
      <c r="R171" s="866"/>
      <c r="S171" s="869">
        <v>247</v>
      </c>
      <c r="T171" s="841">
        <v>4.13</v>
      </c>
      <c r="U171" s="831">
        <v>2444.1799999999998</v>
      </c>
      <c r="V171" s="831">
        <v>1666</v>
      </c>
      <c r="W171" s="831">
        <v>301.27</v>
      </c>
    </row>
    <row r="172" spans="1:23">
      <c r="A172" s="861">
        <v>10058</v>
      </c>
      <c r="B172" s="868" t="s">
        <v>3138</v>
      </c>
      <c r="C172" s="863">
        <v>305</v>
      </c>
      <c r="D172" s="863">
        <v>305</v>
      </c>
      <c r="E172" s="863">
        <v>306</v>
      </c>
      <c r="F172" s="855">
        <v>22</v>
      </c>
      <c r="G172" s="855">
        <v>22</v>
      </c>
      <c r="H172" s="855">
        <v>9.8000000000000007</v>
      </c>
      <c r="I172" s="855">
        <v>0.63</v>
      </c>
      <c r="J172" s="855">
        <v>0.63</v>
      </c>
      <c r="K172" s="855">
        <v>0.15</v>
      </c>
      <c r="L172" s="855">
        <v>10</v>
      </c>
      <c r="M172" s="855">
        <v>0.1</v>
      </c>
      <c r="N172" s="855"/>
      <c r="O172" s="867">
        <v>2</v>
      </c>
      <c r="P172" s="848" t="s">
        <v>3138</v>
      </c>
      <c r="Q172" s="865"/>
      <c r="R172" s="866"/>
      <c r="S172" s="869">
        <v>248</v>
      </c>
      <c r="T172" s="841">
        <v>3.3</v>
      </c>
      <c r="U172" s="831">
        <v>2286.88</v>
      </c>
      <c r="V172" s="831">
        <v>1666</v>
      </c>
      <c r="W172" s="831">
        <v>307.33</v>
      </c>
    </row>
    <row r="173" spans="1:23">
      <c r="A173" s="861">
        <v>10059</v>
      </c>
      <c r="B173" s="868" t="s">
        <v>636</v>
      </c>
      <c r="C173" s="863">
        <v>307</v>
      </c>
      <c r="D173" s="863">
        <v>308</v>
      </c>
      <c r="E173" s="863">
        <v>309</v>
      </c>
      <c r="F173" s="855">
        <v>15.7</v>
      </c>
      <c r="G173" s="855">
        <v>10.1</v>
      </c>
      <c r="H173" s="855">
        <v>5.9</v>
      </c>
      <c r="I173" s="855">
        <v>0.63</v>
      </c>
      <c r="J173" s="855">
        <v>0.38</v>
      </c>
      <c r="K173" s="855">
        <v>6.0999999999999999E-2</v>
      </c>
      <c r="L173" s="855">
        <v>6</v>
      </c>
      <c r="M173" s="855">
        <v>0.1</v>
      </c>
      <c r="N173" s="855"/>
      <c r="O173" s="867">
        <v>2</v>
      </c>
      <c r="P173" s="848" t="s">
        <v>636</v>
      </c>
      <c r="Q173" s="865"/>
      <c r="R173" s="866"/>
      <c r="S173" s="869">
        <v>249</v>
      </c>
      <c r="T173" s="841">
        <v>3.37</v>
      </c>
      <c r="U173" s="831">
        <v>1112.04</v>
      </c>
      <c r="V173" s="831">
        <v>715.4</v>
      </c>
      <c r="W173" s="831">
        <v>121.21</v>
      </c>
    </row>
    <row r="174" spans="1:23">
      <c r="A174" s="861">
        <v>10060</v>
      </c>
      <c r="B174" s="868" t="s">
        <v>3521</v>
      </c>
      <c r="C174" s="863">
        <v>310</v>
      </c>
      <c r="D174" s="863">
        <v>311</v>
      </c>
      <c r="E174" s="863">
        <v>312</v>
      </c>
      <c r="F174" s="855">
        <v>294</v>
      </c>
      <c r="G174" s="855">
        <v>294</v>
      </c>
      <c r="H174" s="855">
        <v>127</v>
      </c>
      <c r="I174" s="855">
        <v>28</v>
      </c>
      <c r="J174" s="855">
        <v>28</v>
      </c>
      <c r="K174" s="855">
        <v>11</v>
      </c>
      <c r="L174" s="855">
        <v>70</v>
      </c>
      <c r="M174" s="855">
        <v>0.17499999999999999</v>
      </c>
      <c r="N174" s="855"/>
      <c r="O174" s="867">
        <v>1</v>
      </c>
      <c r="P174" s="848" t="s">
        <v>3521</v>
      </c>
      <c r="Q174" s="865"/>
      <c r="R174" s="866"/>
      <c r="S174" s="869">
        <v>250</v>
      </c>
      <c r="T174" s="841">
        <v>2.91</v>
      </c>
      <c r="U174" s="831">
        <v>2579.31</v>
      </c>
      <c r="V174" s="831">
        <v>1666</v>
      </c>
      <c r="W174" s="831">
        <v>313.60000000000002</v>
      </c>
    </row>
    <row r="175" spans="1:23">
      <c r="A175" s="861">
        <v>10061</v>
      </c>
      <c r="B175" s="868" t="s">
        <v>3366</v>
      </c>
      <c r="C175" s="863">
        <v>310</v>
      </c>
      <c r="D175" s="863">
        <v>311</v>
      </c>
      <c r="E175" s="863">
        <v>312</v>
      </c>
      <c r="F175" s="855">
        <v>294</v>
      </c>
      <c r="G175" s="855">
        <v>294</v>
      </c>
      <c r="H175" s="855">
        <v>127</v>
      </c>
      <c r="I175" s="855">
        <v>28</v>
      </c>
      <c r="J175" s="855">
        <v>28</v>
      </c>
      <c r="K175" s="855">
        <v>11</v>
      </c>
      <c r="L175" s="855">
        <v>70</v>
      </c>
      <c r="M175" s="855">
        <v>0.17499999999999999</v>
      </c>
      <c r="N175" s="855"/>
      <c r="O175" s="867">
        <v>1</v>
      </c>
      <c r="P175" s="848" t="s">
        <v>3521</v>
      </c>
      <c r="Q175" s="865" t="s">
        <v>872</v>
      </c>
      <c r="R175" s="866"/>
      <c r="S175" s="869">
        <v>251</v>
      </c>
      <c r="T175" s="841">
        <v>2.29</v>
      </c>
      <c r="U175" s="831">
        <v>2385.29</v>
      </c>
      <c r="V175" s="831">
        <v>1666</v>
      </c>
      <c r="W175" s="831">
        <v>313.60000000000002</v>
      </c>
    </row>
    <row r="176" spans="1:23">
      <c r="A176" s="861">
        <v>10062</v>
      </c>
      <c r="B176" s="868" t="s">
        <v>3256</v>
      </c>
      <c r="C176" s="863">
        <v>310</v>
      </c>
      <c r="D176" s="863">
        <v>311</v>
      </c>
      <c r="E176" s="863">
        <v>312</v>
      </c>
      <c r="F176" s="855">
        <v>294</v>
      </c>
      <c r="G176" s="855">
        <v>294</v>
      </c>
      <c r="H176" s="855">
        <v>127</v>
      </c>
      <c r="I176" s="855">
        <v>28</v>
      </c>
      <c r="J176" s="855">
        <v>28</v>
      </c>
      <c r="K176" s="855">
        <v>11</v>
      </c>
      <c r="L176" s="855">
        <v>70</v>
      </c>
      <c r="M176" s="855">
        <v>0.17499999999999999</v>
      </c>
      <c r="N176" s="855"/>
      <c r="O176" s="867">
        <v>1</v>
      </c>
      <c r="P176" s="848" t="s">
        <v>3256</v>
      </c>
      <c r="Q176" s="865"/>
      <c r="R176" s="866"/>
      <c r="S176" s="869">
        <v>252</v>
      </c>
      <c r="T176" s="841">
        <v>2.15</v>
      </c>
      <c r="U176" s="831">
        <v>1199.97</v>
      </c>
      <c r="V176" s="831">
        <v>715.4</v>
      </c>
      <c r="W176" s="831">
        <v>225.4</v>
      </c>
    </row>
    <row r="177" spans="1:23">
      <c r="A177" s="861">
        <v>10063</v>
      </c>
      <c r="B177" s="868" t="s">
        <v>3257</v>
      </c>
      <c r="C177" s="863">
        <v>310</v>
      </c>
      <c r="D177" s="863">
        <v>311</v>
      </c>
      <c r="E177" s="863">
        <v>312</v>
      </c>
      <c r="F177" s="855">
        <v>294</v>
      </c>
      <c r="G177" s="855">
        <v>294</v>
      </c>
      <c r="H177" s="855">
        <v>127</v>
      </c>
      <c r="I177" s="855">
        <v>28</v>
      </c>
      <c r="J177" s="855">
        <v>28</v>
      </c>
      <c r="K177" s="855">
        <v>11</v>
      </c>
      <c r="L177" s="855">
        <v>70</v>
      </c>
      <c r="M177" s="855">
        <v>0.17499999999999999</v>
      </c>
      <c r="N177" s="855"/>
      <c r="O177" s="867">
        <v>1</v>
      </c>
      <c r="P177" s="848" t="s">
        <v>3256</v>
      </c>
      <c r="Q177" s="865" t="s">
        <v>872</v>
      </c>
      <c r="R177" s="866"/>
      <c r="S177" s="869">
        <v>253</v>
      </c>
      <c r="T177" s="841">
        <v>1.6839999999999999</v>
      </c>
      <c r="U177" s="831">
        <v>5230.05</v>
      </c>
      <c r="V177" s="831">
        <v>3381</v>
      </c>
      <c r="W177" s="831">
        <v>1812.66</v>
      </c>
    </row>
    <row r="178" spans="1:23">
      <c r="A178" s="861">
        <v>10064</v>
      </c>
      <c r="B178" s="868" t="s">
        <v>1090</v>
      </c>
      <c r="C178" s="863">
        <v>310</v>
      </c>
      <c r="D178" s="863">
        <v>311</v>
      </c>
      <c r="E178" s="863">
        <v>312</v>
      </c>
      <c r="F178" s="855">
        <v>294</v>
      </c>
      <c r="G178" s="855">
        <v>294</v>
      </c>
      <c r="H178" s="855">
        <v>127</v>
      </c>
      <c r="I178" s="855">
        <v>28</v>
      </c>
      <c r="J178" s="855">
        <v>28</v>
      </c>
      <c r="K178" s="855">
        <v>11</v>
      </c>
      <c r="L178" s="855">
        <v>70</v>
      </c>
      <c r="M178" s="855">
        <v>0.17499999999999999</v>
      </c>
      <c r="N178" s="855"/>
      <c r="O178" s="867">
        <v>1</v>
      </c>
      <c r="P178" s="848" t="s">
        <v>1090</v>
      </c>
      <c r="Q178" s="865"/>
      <c r="R178" s="866"/>
      <c r="S178" s="869">
        <v>254</v>
      </c>
      <c r="T178" s="841">
        <v>1.66</v>
      </c>
      <c r="U178" s="831">
        <v>5203.7</v>
      </c>
      <c r="V178" s="831">
        <v>3381</v>
      </c>
      <c r="W178" s="831">
        <v>1891.7</v>
      </c>
    </row>
    <row r="179" spans="1:23">
      <c r="A179" s="861">
        <v>10065</v>
      </c>
      <c r="B179" s="868" t="s">
        <v>680</v>
      </c>
      <c r="C179" s="863">
        <v>310</v>
      </c>
      <c r="D179" s="863">
        <v>311</v>
      </c>
      <c r="E179" s="863">
        <v>312</v>
      </c>
      <c r="F179" s="855">
        <v>294</v>
      </c>
      <c r="G179" s="855">
        <v>294</v>
      </c>
      <c r="H179" s="855">
        <v>127</v>
      </c>
      <c r="I179" s="855">
        <v>28</v>
      </c>
      <c r="J179" s="855">
        <v>28</v>
      </c>
      <c r="K179" s="855">
        <v>11</v>
      </c>
      <c r="L179" s="855">
        <v>70</v>
      </c>
      <c r="M179" s="855">
        <v>0.17499999999999999</v>
      </c>
      <c r="N179" s="855"/>
      <c r="O179" s="867">
        <v>1</v>
      </c>
      <c r="P179" s="848" t="s">
        <v>1090</v>
      </c>
      <c r="Q179" s="865" t="s">
        <v>872</v>
      </c>
      <c r="R179" s="866"/>
      <c r="S179" s="869">
        <v>255</v>
      </c>
      <c r="T179" s="841">
        <v>2.64</v>
      </c>
      <c r="U179" s="831">
        <v>2898.24</v>
      </c>
      <c r="V179" s="831">
        <v>1725</v>
      </c>
      <c r="W179" s="831">
        <v>685.28399999999999</v>
      </c>
    </row>
    <row r="180" spans="1:23">
      <c r="A180" s="861">
        <v>10066</v>
      </c>
      <c r="B180" s="868" t="s">
        <v>454</v>
      </c>
      <c r="C180" s="863">
        <v>310</v>
      </c>
      <c r="D180" s="863">
        <v>311</v>
      </c>
      <c r="E180" s="863">
        <v>312</v>
      </c>
      <c r="F180" s="855">
        <v>294</v>
      </c>
      <c r="G180" s="855">
        <v>294</v>
      </c>
      <c r="H180" s="855">
        <v>127</v>
      </c>
      <c r="I180" s="855">
        <v>28</v>
      </c>
      <c r="J180" s="855">
        <v>28</v>
      </c>
      <c r="K180" s="855">
        <v>11</v>
      </c>
      <c r="L180" s="855">
        <v>70</v>
      </c>
      <c r="M180" s="855">
        <v>0.17499999999999999</v>
      </c>
      <c r="N180" s="855"/>
      <c r="O180" s="867">
        <v>1</v>
      </c>
      <c r="P180" s="848" t="s">
        <v>454</v>
      </c>
      <c r="Q180" s="865"/>
      <c r="R180" s="866"/>
      <c r="S180" s="869">
        <v>256</v>
      </c>
      <c r="T180" s="841">
        <v>7.5750000000000002</v>
      </c>
      <c r="U180" s="831">
        <v>418.10599999999999</v>
      </c>
      <c r="V180" s="831">
        <v>206</v>
      </c>
      <c r="W180" s="831">
        <v>28</v>
      </c>
    </row>
    <row r="181" spans="1:23">
      <c r="A181" s="861">
        <v>10067</v>
      </c>
      <c r="B181" s="868" t="s">
        <v>1846</v>
      </c>
      <c r="C181" s="863">
        <v>310</v>
      </c>
      <c r="D181" s="863">
        <v>311</v>
      </c>
      <c r="E181" s="863">
        <v>312</v>
      </c>
      <c r="F181" s="855">
        <v>294</v>
      </c>
      <c r="G181" s="855">
        <v>294</v>
      </c>
      <c r="H181" s="855">
        <v>127</v>
      </c>
      <c r="I181" s="855">
        <v>28</v>
      </c>
      <c r="J181" s="855">
        <v>28</v>
      </c>
      <c r="K181" s="855">
        <v>11</v>
      </c>
      <c r="L181" s="855">
        <v>70</v>
      </c>
      <c r="M181" s="855">
        <v>0.17499999999999999</v>
      </c>
      <c r="N181" s="855"/>
      <c r="O181" s="867">
        <v>1</v>
      </c>
      <c r="P181" s="848" t="s">
        <v>454</v>
      </c>
      <c r="Q181" s="865" t="s">
        <v>872</v>
      </c>
      <c r="R181" s="866"/>
      <c r="S181" s="869">
        <v>257</v>
      </c>
      <c r="T181" s="841">
        <v>6.6509999999999998</v>
      </c>
      <c r="U181" s="831">
        <v>392.23899999999998</v>
      </c>
      <c r="V181" s="831">
        <v>206</v>
      </c>
      <c r="W181" s="831">
        <v>28</v>
      </c>
    </row>
    <row r="182" spans="1:23">
      <c r="A182" s="861">
        <v>10068</v>
      </c>
      <c r="B182" s="868" t="s">
        <v>2778</v>
      </c>
      <c r="C182" s="863">
        <v>313</v>
      </c>
      <c r="D182" s="863">
        <v>314</v>
      </c>
      <c r="E182" s="863" t="s">
        <v>32</v>
      </c>
      <c r="F182" s="855">
        <v>3.5</v>
      </c>
      <c r="G182" s="855">
        <v>1.5</v>
      </c>
      <c r="H182" s="855" t="s">
        <v>32</v>
      </c>
      <c r="I182" s="855">
        <v>3.2000000000000001E-2</v>
      </c>
      <c r="J182" s="855">
        <v>6.4999999999999997E-3</v>
      </c>
      <c r="K182" s="855" t="s">
        <v>32</v>
      </c>
      <c r="L182" s="855">
        <v>2</v>
      </c>
      <c r="M182" s="855">
        <v>6.5000000000000002E-2</v>
      </c>
      <c r="N182" s="855"/>
      <c r="O182" s="867">
        <v>2</v>
      </c>
      <c r="P182" s="848" t="s">
        <v>2778</v>
      </c>
      <c r="Q182" s="865"/>
      <c r="R182" s="866">
        <v>9.5000000000000001E-2</v>
      </c>
      <c r="S182" s="872">
        <v>258</v>
      </c>
      <c r="T182" s="841">
        <v>15.489000000000001</v>
      </c>
      <c r="U182" s="831">
        <v>297.38799999999998</v>
      </c>
      <c r="V182" s="831">
        <v>127</v>
      </c>
      <c r="W182" s="831">
        <v>11</v>
      </c>
    </row>
    <row r="183" spans="1:23">
      <c r="A183" s="861">
        <v>10069</v>
      </c>
      <c r="B183" s="868" t="s">
        <v>2152</v>
      </c>
      <c r="C183" s="863">
        <v>313</v>
      </c>
      <c r="D183" s="863">
        <v>315</v>
      </c>
      <c r="E183" s="863" t="s">
        <v>1216</v>
      </c>
      <c r="F183" s="855">
        <v>3.5</v>
      </c>
      <c r="G183" s="855">
        <v>0</v>
      </c>
      <c r="H183" s="855" t="s">
        <v>32</v>
      </c>
      <c r="I183" s="855">
        <v>3.2000000000000001E-2</v>
      </c>
      <c r="J183" s="855">
        <v>5.0000000000000001E-3</v>
      </c>
      <c r="K183" s="855" t="s">
        <v>32</v>
      </c>
      <c r="L183" s="855">
        <v>2</v>
      </c>
      <c r="M183" s="855">
        <v>6.5000000000000002E-2</v>
      </c>
      <c r="N183" s="855"/>
      <c r="O183" s="867">
        <v>2</v>
      </c>
      <c r="P183" s="848" t="s">
        <v>2152</v>
      </c>
      <c r="Q183" s="865"/>
      <c r="R183" s="866">
        <v>9.5000000000000001E-2</v>
      </c>
      <c r="S183" s="873">
        <v>259</v>
      </c>
      <c r="T183" s="874">
        <v>2.617</v>
      </c>
      <c r="U183" s="864">
        <v>1570</v>
      </c>
      <c r="V183" s="864">
        <v>980</v>
      </c>
      <c r="W183" s="864">
        <v>294</v>
      </c>
    </row>
    <row r="184" spans="1:23">
      <c r="A184" s="861">
        <v>10070</v>
      </c>
      <c r="B184" s="868" t="s">
        <v>1613</v>
      </c>
      <c r="C184" s="863">
        <v>313</v>
      </c>
      <c r="D184" s="863">
        <v>313</v>
      </c>
      <c r="E184" s="863">
        <v>314</v>
      </c>
      <c r="F184" s="855">
        <v>3.5</v>
      </c>
      <c r="G184" s="855">
        <v>3.5</v>
      </c>
      <c r="H184" s="855">
        <v>1.5</v>
      </c>
      <c r="I184" s="855">
        <v>3.2000000000000001E-2</v>
      </c>
      <c r="J184" s="855">
        <v>3.2000000000000001E-2</v>
      </c>
      <c r="K184" s="855">
        <v>6.4999999999999997E-3</v>
      </c>
      <c r="L184" s="855">
        <v>2</v>
      </c>
      <c r="M184" s="855">
        <v>6.5000000000000002E-2</v>
      </c>
      <c r="N184" s="855"/>
      <c r="O184" s="867">
        <v>2</v>
      </c>
      <c r="P184" s="848" t="s">
        <v>1613</v>
      </c>
      <c r="Q184" s="865"/>
      <c r="R184" s="866">
        <v>9.5000000000000001E-2</v>
      </c>
      <c r="S184" s="873">
        <v>260</v>
      </c>
      <c r="T184" s="874">
        <v>0.87</v>
      </c>
      <c r="U184" s="864">
        <v>877</v>
      </c>
      <c r="V184" s="864">
        <v>706</v>
      </c>
      <c r="W184" s="864">
        <v>245</v>
      </c>
    </row>
    <row r="185" spans="1:23">
      <c r="A185" s="861">
        <v>10071</v>
      </c>
      <c r="B185" s="868" t="s">
        <v>2095</v>
      </c>
      <c r="C185" s="863">
        <v>316</v>
      </c>
      <c r="D185" s="863">
        <v>317</v>
      </c>
      <c r="E185" s="863">
        <v>318</v>
      </c>
      <c r="F185" s="855">
        <v>2200</v>
      </c>
      <c r="G185" s="855">
        <v>2200</v>
      </c>
      <c r="H185" s="855">
        <v>715</v>
      </c>
      <c r="I185" s="855">
        <v>431.2</v>
      </c>
      <c r="J185" s="855">
        <v>431.2</v>
      </c>
      <c r="K185" s="855">
        <v>392</v>
      </c>
      <c r="L185" s="855">
        <v>200</v>
      </c>
      <c r="M185" s="855">
        <v>0.32500000000000001</v>
      </c>
      <c r="N185" s="855"/>
      <c r="O185" s="867">
        <v>3</v>
      </c>
      <c r="P185" s="848" t="s">
        <v>2095</v>
      </c>
      <c r="Q185" s="865"/>
      <c r="R185" s="866"/>
      <c r="S185" s="873">
        <v>261</v>
      </c>
      <c r="T185" s="874">
        <v>2.6179999999999999</v>
      </c>
      <c r="U185" s="864">
        <v>1815.1</v>
      </c>
      <c r="V185" s="864">
        <v>1225</v>
      </c>
      <c r="W185" s="864">
        <v>225.4</v>
      </c>
    </row>
    <row r="186" spans="1:23">
      <c r="A186" s="861">
        <v>10072</v>
      </c>
      <c r="B186" s="868" t="s">
        <v>3529</v>
      </c>
      <c r="C186" s="863">
        <v>316</v>
      </c>
      <c r="D186" s="863">
        <v>317</v>
      </c>
      <c r="E186" s="863">
        <v>318</v>
      </c>
      <c r="F186" s="855">
        <v>2200</v>
      </c>
      <c r="G186" s="855">
        <v>2200</v>
      </c>
      <c r="H186" s="855">
        <v>715</v>
      </c>
      <c r="I186" s="855">
        <v>431.2</v>
      </c>
      <c r="J186" s="855">
        <v>431.2</v>
      </c>
      <c r="K186" s="855">
        <v>392</v>
      </c>
      <c r="L186" s="855">
        <v>200</v>
      </c>
      <c r="M186" s="855">
        <v>0.35</v>
      </c>
      <c r="N186" s="855"/>
      <c r="O186" s="867">
        <v>3</v>
      </c>
      <c r="P186" s="848" t="s">
        <v>2095</v>
      </c>
      <c r="Q186" s="865" t="s">
        <v>872</v>
      </c>
      <c r="R186" s="866"/>
      <c r="S186" s="873">
        <v>262</v>
      </c>
      <c r="T186" s="874">
        <v>1.7450000000000001</v>
      </c>
      <c r="U186" s="864">
        <v>1618.4</v>
      </c>
      <c r="V186" s="864">
        <v>1225</v>
      </c>
      <c r="W186" s="864">
        <v>225.4</v>
      </c>
    </row>
    <row r="187" spans="1:23">
      <c r="A187" s="861">
        <v>10073</v>
      </c>
      <c r="B187" s="868" t="s">
        <v>3446</v>
      </c>
      <c r="C187" s="863">
        <v>319</v>
      </c>
      <c r="D187" s="863">
        <v>319</v>
      </c>
      <c r="E187" s="863">
        <v>320</v>
      </c>
      <c r="F187" s="855">
        <v>44</v>
      </c>
      <c r="G187" s="855">
        <v>44</v>
      </c>
      <c r="H187" s="855">
        <v>22</v>
      </c>
      <c r="I187" s="855">
        <v>1.04</v>
      </c>
      <c r="J187" s="855">
        <v>1.04</v>
      </c>
      <c r="K187" s="855">
        <v>0.28000000000000003</v>
      </c>
      <c r="L187" s="855">
        <v>20</v>
      </c>
      <c r="M187" s="855">
        <v>0.1</v>
      </c>
      <c r="N187" s="855"/>
      <c r="O187" s="867">
        <v>2</v>
      </c>
      <c r="P187" s="848" t="s">
        <v>3446</v>
      </c>
      <c r="Q187" s="865"/>
      <c r="R187" s="866"/>
      <c r="S187" s="873">
        <v>263</v>
      </c>
      <c r="T187" s="874">
        <v>2.7629999999999999</v>
      </c>
      <c r="U187" s="864">
        <v>1247.2</v>
      </c>
      <c r="V187" s="864">
        <v>705.6</v>
      </c>
      <c r="W187" s="864">
        <v>196</v>
      </c>
    </row>
    <row r="188" spans="1:23">
      <c r="A188" s="861">
        <v>10074</v>
      </c>
      <c r="B188" s="868" t="s">
        <v>2374</v>
      </c>
      <c r="C188" s="863">
        <v>305</v>
      </c>
      <c r="D188" s="863">
        <v>305</v>
      </c>
      <c r="E188" s="863">
        <v>306</v>
      </c>
      <c r="F188" s="855">
        <v>22</v>
      </c>
      <c r="G188" s="855">
        <v>22</v>
      </c>
      <c r="H188" s="855">
        <v>9.8000000000000007</v>
      </c>
      <c r="I188" s="855">
        <v>0.63</v>
      </c>
      <c r="J188" s="855">
        <v>0.63</v>
      </c>
      <c r="K188" s="855">
        <v>0.15</v>
      </c>
      <c r="L188" s="855">
        <v>10</v>
      </c>
      <c r="M188" s="855">
        <v>0.1</v>
      </c>
      <c r="N188" s="855"/>
      <c r="O188" s="867">
        <v>2</v>
      </c>
      <c r="P188" s="848" t="s">
        <v>2374</v>
      </c>
      <c r="Q188" s="865"/>
      <c r="R188" s="866"/>
      <c r="S188" s="873">
        <v>264</v>
      </c>
      <c r="T188" s="874">
        <v>4.1879999999999997</v>
      </c>
      <c r="U188" s="864">
        <v>2277</v>
      </c>
      <c r="V188" s="864">
        <v>1333</v>
      </c>
      <c r="W188" s="864">
        <v>225.4</v>
      </c>
    </row>
    <row r="189" spans="1:23">
      <c r="A189" s="861">
        <v>10075</v>
      </c>
      <c r="B189" s="868" t="s">
        <v>1977</v>
      </c>
      <c r="C189" s="863">
        <v>321</v>
      </c>
      <c r="D189" s="863">
        <v>321</v>
      </c>
      <c r="E189" s="863">
        <v>322</v>
      </c>
      <c r="F189" s="855">
        <v>2744</v>
      </c>
      <c r="G189" s="855">
        <v>2744</v>
      </c>
      <c r="H189" s="855">
        <v>1725</v>
      </c>
      <c r="I189" s="855">
        <v>510</v>
      </c>
      <c r="J189" s="855">
        <v>510</v>
      </c>
      <c r="K189" s="855">
        <v>320</v>
      </c>
      <c r="L189" s="855">
        <v>400</v>
      </c>
      <c r="M189" s="855">
        <v>0.3</v>
      </c>
      <c r="N189" s="855"/>
      <c r="O189" s="867">
        <v>6</v>
      </c>
      <c r="P189" s="848" t="s">
        <v>1977</v>
      </c>
      <c r="Q189" s="865"/>
      <c r="R189" s="866"/>
      <c r="S189" s="873">
        <v>265</v>
      </c>
      <c r="T189" s="874">
        <v>3.49</v>
      </c>
      <c r="U189" s="864">
        <v>2119.6</v>
      </c>
      <c r="V189" s="864">
        <v>1333</v>
      </c>
      <c r="W189" s="864">
        <v>225.4</v>
      </c>
    </row>
    <row r="190" spans="1:23">
      <c r="A190" s="861">
        <v>10076</v>
      </c>
      <c r="B190" s="868" t="s">
        <v>1978</v>
      </c>
      <c r="C190" s="863">
        <v>321</v>
      </c>
      <c r="D190" s="863">
        <v>321</v>
      </c>
      <c r="E190" s="863">
        <v>322</v>
      </c>
      <c r="F190" s="855">
        <v>2744</v>
      </c>
      <c r="G190" s="855">
        <v>2744</v>
      </c>
      <c r="H190" s="855">
        <v>1725</v>
      </c>
      <c r="I190" s="855">
        <v>510</v>
      </c>
      <c r="J190" s="855">
        <v>510</v>
      </c>
      <c r="K190" s="855">
        <v>320</v>
      </c>
      <c r="L190" s="855">
        <v>400</v>
      </c>
      <c r="M190" s="855">
        <v>0.32500000000000001</v>
      </c>
      <c r="N190" s="855"/>
      <c r="O190" s="867">
        <v>6</v>
      </c>
      <c r="P190" s="848" t="s">
        <v>1977</v>
      </c>
      <c r="Q190" s="865" t="s">
        <v>872</v>
      </c>
      <c r="R190" s="866"/>
      <c r="S190" s="873">
        <v>266</v>
      </c>
      <c r="T190" s="874">
        <v>6.1359000000000004</v>
      </c>
      <c r="U190" s="864">
        <v>465.80599999999998</v>
      </c>
      <c r="V190" s="864">
        <v>294</v>
      </c>
      <c r="W190" s="864">
        <v>28</v>
      </c>
    </row>
    <row r="191" spans="1:23">
      <c r="A191" s="861">
        <v>10077</v>
      </c>
      <c r="B191" s="868" t="s">
        <v>2033</v>
      </c>
      <c r="C191" s="863">
        <v>323</v>
      </c>
      <c r="D191" s="863">
        <v>324</v>
      </c>
      <c r="E191" s="863">
        <v>325</v>
      </c>
      <c r="F191" s="855">
        <v>380</v>
      </c>
      <c r="G191" s="855">
        <v>380</v>
      </c>
      <c r="H191" s="855">
        <v>200</v>
      </c>
      <c r="I191" s="855">
        <v>30</v>
      </c>
      <c r="J191" s="855">
        <v>30</v>
      </c>
      <c r="K191" s="855">
        <v>20</v>
      </c>
      <c r="L191" s="855">
        <v>80</v>
      </c>
      <c r="M191" s="855">
        <v>0.17499999999999999</v>
      </c>
      <c r="N191" s="855"/>
      <c r="O191" s="867">
        <v>1</v>
      </c>
      <c r="P191" s="848" t="s">
        <v>2033</v>
      </c>
      <c r="Q191" s="865"/>
      <c r="R191" s="866"/>
      <c r="S191" s="873">
        <v>267</v>
      </c>
      <c r="T191" s="874">
        <v>12.271800000000001</v>
      </c>
      <c r="U191" s="864">
        <v>281.99</v>
      </c>
      <c r="V191" s="864">
        <v>147</v>
      </c>
      <c r="W191" s="864">
        <v>13.76</v>
      </c>
    </row>
    <row r="192" spans="1:23">
      <c r="A192" s="861">
        <v>10078</v>
      </c>
      <c r="B192" s="868" t="s">
        <v>2619</v>
      </c>
      <c r="C192" s="863">
        <v>323</v>
      </c>
      <c r="D192" s="863">
        <v>324</v>
      </c>
      <c r="E192" s="863">
        <v>325</v>
      </c>
      <c r="F192" s="855">
        <v>380</v>
      </c>
      <c r="G192" s="855">
        <v>380</v>
      </c>
      <c r="H192" s="855">
        <v>200</v>
      </c>
      <c r="I192" s="855">
        <v>30</v>
      </c>
      <c r="J192" s="855">
        <v>30</v>
      </c>
      <c r="K192" s="855">
        <v>20</v>
      </c>
      <c r="L192" s="855">
        <v>80</v>
      </c>
      <c r="M192" s="855">
        <v>0.19800000000000001</v>
      </c>
      <c r="N192" s="855"/>
      <c r="O192" s="867">
        <v>1</v>
      </c>
      <c r="P192" s="848" t="s">
        <v>2033</v>
      </c>
      <c r="Q192" s="865" t="s">
        <v>872</v>
      </c>
      <c r="R192" s="866"/>
      <c r="S192" s="873">
        <v>268</v>
      </c>
      <c r="T192" s="925">
        <v>16.399999999999999</v>
      </c>
      <c r="U192" s="926">
        <v>53.7</v>
      </c>
      <c r="V192" s="926">
        <v>39.200000000000003</v>
      </c>
      <c r="W192" s="926">
        <v>0.88</v>
      </c>
    </row>
    <row r="193" spans="1:23">
      <c r="A193" s="861">
        <v>10079</v>
      </c>
      <c r="B193" s="868" t="s">
        <v>2955</v>
      </c>
      <c r="C193" s="863">
        <v>323</v>
      </c>
      <c r="D193" s="863">
        <v>324</v>
      </c>
      <c r="E193" s="863">
        <v>325</v>
      </c>
      <c r="F193" s="855">
        <v>380</v>
      </c>
      <c r="G193" s="855">
        <v>380</v>
      </c>
      <c r="H193" s="855">
        <v>200</v>
      </c>
      <c r="I193" s="855">
        <v>30</v>
      </c>
      <c r="J193" s="855">
        <v>30</v>
      </c>
      <c r="K193" s="855">
        <v>20</v>
      </c>
      <c r="L193" s="855">
        <v>80</v>
      </c>
      <c r="M193" s="855">
        <v>0.32</v>
      </c>
      <c r="N193" s="855"/>
      <c r="O193" s="867">
        <v>1</v>
      </c>
      <c r="P193" s="848" t="s">
        <v>2955</v>
      </c>
      <c r="Q193" s="865"/>
      <c r="R193" s="866"/>
      <c r="S193" s="873">
        <v>269</v>
      </c>
      <c r="T193" s="874">
        <v>1.8420000000000001</v>
      </c>
      <c r="U193" s="864">
        <v>998.1</v>
      </c>
      <c r="V193" s="864">
        <v>637</v>
      </c>
      <c r="W193" s="864">
        <v>196</v>
      </c>
    </row>
    <row r="194" spans="1:23">
      <c r="A194" s="861">
        <v>10080</v>
      </c>
      <c r="B194" s="868" t="s">
        <v>87</v>
      </c>
      <c r="C194" s="863">
        <v>326</v>
      </c>
      <c r="D194" s="863">
        <v>327</v>
      </c>
      <c r="E194" s="863">
        <v>328</v>
      </c>
      <c r="F194" s="855">
        <v>1225</v>
      </c>
      <c r="G194" s="855">
        <v>1225</v>
      </c>
      <c r="H194" s="855">
        <v>706</v>
      </c>
      <c r="I194" s="855">
        <v>225.4</v>
      </c>
      <c r="J194" s="855">
        <v>225.4</v>
      </c>
      <c r="K194" s="855">
        <v>196</v>
      </c>
      <c r="L194" s="855">
        <v>185</v>
      </c>
      <c r="M194" s="855">
        <v>0.23499999999999999</v>
      </c>
      <c r="N194" s="855"/>
      <c r="O194" s="867">
        <v>1</v>
      </c>
      <c r="P194" s="848" t="s">
        <v>89</v>
      </c>
      <c r="Q194" s="865"/>
      <c r="R194" s="866"/>
      <c r="S194" s="873">
        <v>270</v>
      </c>
      <c r="T194" s="874">
        <v>5.66</v>
      </c>
      <c r="U194" s="864">
        <v>1807</v>
      </c>
      <c r="V194" s="864">
        <v>1156</v>
      </c>
      <c r="W194" s="864">
        <v>134</v>
      </c>
    </row>
    <row r="195" spans="1:23">
      <c r="A195" s="861">
        <v>10081</v>
      </c>
      <c r="B195" s="868" t="s">
        <v>3686</v>
      </c>
      <c r="C195" s="863">
        <v>326</v>
      </c>
      <c r="D195" s="863">
        <v>327</v>
      </c>
      <c r="E195" s="863">
        <v>328</v>
      </c>
      <c r="F195" s="855">
        <v>1225</v>
      </c>
      <c r="G195" s="855">
        <v>1225</v>
      </c>
      <c r="H195" s="855">
        <v>706</v>
      </c>
      <c r="I195" s="855">
        <v>225.4</v>
      </c>
      <c r="J195" s="855">
        <v>225.4</v>
      </c>
      <c r="K195" s="855">
        <v>196</v>
      </c>
      <c r="L195" s="855">
        <v>185</v>
      </c>
      <c r="M195" s="855">
        <v>0.25800000000000001</v>
      </c>
      <c r="N195" s="855"/>
      <c r="O195" s="867">
        <v>1</v>
      </c>
      <c r="P195" s="848" t="s">
        <v>86</v>
      </c>
      <c r="Q195" s="865" t="s">
        <v>872</v>
      </c>
      <c r="R195" s="866"/>
      <c r="S195" s="873">
        <v>271</v>
      </c>
      <c r="T195" s="874">
        <v>3.9</v>
      </c>
      <c r="U195" s="864">
        <v>1605</v>
      </c>
      <c r="V195" s="864">
        <v>1156</v>
      </c>
      <c r="W195" s="864">
        <v>144</v>
      </c>
    </row>
    <row r="196" spans="1:23">
      <c r="A196" s="861">
        <v>10082</v>
      </c>
      <c r="B196" s="868" t="s">
        <v>3610</v>
      </c>
      <c r="C196" s="863">
        <v>329</v>
      </c>
      <c r="D196" s="863">
        <v>330</v>
      </c>
      <c r="E196" s="863">
        <v>331</v>
      </c>
      <c r="F196" s="855">
        <v>1382</v>
      </c>
      <c r="G196" s="855">
        <v>1382</v>
      </c>
      <c r="H196" s="855">
        <v>715</v>
      </c>
      <c r="I196" s="855">
        <v>225.4</v>
      </c>
      <c r="J196" s="855">
        <v>225.4</v>
      </c>
      <c r="K196" s="855">
        <v>196</v>
      </c>
      <c r="L196" s="855">
        <v>250</v>
      </c>
      <c r="M196" s="855">
        <v>0.23499999999999999</v>
      </c>
      <c r="N196" s="855"/>
      <c r="O196" s="867">
        <v>1</v>
      </c>
      <c r="P196" s="848" t="s">
        <v>3611</v>
      </c>
      <c r="Q196" s="865"/>
      <c r="R196" s="866"/>
      <c r="S196" s="873">
        <v>272</v>
      </c>
      <c r="T196" s="874">
        <v>4.08</v>
      </c>
      <c r="U196" s="864">
        <v>2430</v>
      </c>
      <c r="V196" s="864">
        <v>1632</v>
      </c>
      <c r="W196" s="864">
        <v>195.5</v>
      </c>
    </row>
    <row r="197" spans="1:23">
      <c r="A197" s="861">
        <v>10083</v>
      </c>
      <c r="B197" s="868" t="s">
        <v>3356</v>
      </c>
      <c r="C197" s="863">
        <v>329</v>
      </c>
      <c r="D197" s="863">
        <v>330</v>
      </c>
      <c r="E197" s="863">
        <v>331</v>
      </c>
      <c r="F197" s="855">
        <v>1382</v>
      </c>
      <c r="G197" s="855">
        <v>1382</v>
      </c>
      <c r="H197" s="855">
        <v>715</v>
      </c>
      <c r="I197" s="855">
        <v>225.4</v>
      </c>
      <c r="J197" s="855">
        <v>225.4</v>
      </c>
      <c r="K197" s="855">
        <v>196</v>
      </c>
      <c r="L197" s="855">
        <v>250</v>
      </c>
      <c r="M197" s="855">
        <v>0.25800000000000001</v>
      </c>
      <c r="N197" s="855"/>
      <c r="O197" s="867">
        <v>1</v>
      </c>
      <c r="P197" s="848" t="s">
        <v>3611</v>
      </c>
      <c r="Q197" s="865" t="s">
        <v>872</v>
      </c>
      <c r="R197" s="866"/>
      <c r="S197" s="873">
        <v>273</v>
      </c>
      <c r="T197" s="874">
        <v>2.77</v>
      </c>
      <c r="U197" s="864">
        <v>2175</v>
      </c>
      <c r="V197" s="864">
        <v>1632</v>
      </c>
      <c r="W197" s="864">
        <v>215</v>
      </c>
    </row>
    <row r="198" spans="1:23">
      <c r="A198" s="861">
        <v>10084</v>
      </c>
      <c r="B198" s="868" t="s">
        <v>3541</v>
      </c>
      <c r="C198" s="863">
        <v>332</v>
      </c>
      <c r="D198" s="863">
        <v>344</v>
      </c>
      <c r="E198" s="863">
        <v>333</v>
      </c>
      <c r="F198" s="855">
        <v>14700</v>
      </c>
      <c r="G198" s="855">
        <v>14700</v>
      </c>
      <c r="H198" s="855">
        <v>4900</v>
      </c>
      <c r="I198" s="855">
        <v>2989</v>
      </c>
      <c r="J198" s="855">
        <v>2989</v>
      </c>
      <c r="K198" s="855">
        <v>2195</v>
      </c>
      <c r="L198" s="855">
        <v>1200</v>
      </c>
      <c r="M198" s="855">
        <v>0.44500000000000001</v>
      </c>
      <c r="N198" s="855"/>
      <c r="O198" s="867">
        <v>3</v>
      </c>
      <c r="P198" s="848" t="s">
        <v>3541</v>
      </c>
      <c r="Q198" s="865"/>
      <c r="R198" s="866"/>
      <c r="S198" s="873">
        <v>274</v>
      </c>
      <c r="T198" s="874">
        <v>4.17</v>
      </c>
      <c r="U198" s="864">
        <v>2575</v>
      </c>
      <c r="V198" s="864">
        <v>1632</v>
      </c>
      <c r="W198" s="864">
        <v>225.4</v>
      </c>
    </row>
    <row r="199" spans="1:23">
      <c r="A199" s="861">
        <v>10085</v>
      </c>
      <c r="B199" s="868" t="s">
        <v>2025</v>
      </c>
      <c r="C199" s="863">
        <v>345</v>
      </c>
      <c r="D199" s="863">
        <v>346</v>
      </c>
      <c r="E199" s="863">
        <v>347</v>
      </c>
      <c r="F199" s="855">
        <v>14700</v>
      </c>
      <c r="G199" s="855">
        <v>14700</v>
      </c>
      <c r="H199" s="855">
        <v>4900</v>
      </c>
      <c r="I199" s="855">
        <v>2989</v>
      </c>
      <c r="J199" s="855">
        <v>2989</v>
      </c>
      <c r="K199" s="855">
        <v>2195</v>
      </c>
      <c r="L199" s="855">
        <v>900</v>
      </c>
      <c r="M199" s="855">
        <v>0.44500000000000001</v>
      </c>
      <c r="N199" s="855"/>
      <c r="O199" s="867">
        <v>3</v>
      </c>
      <c r="P199" s="848" t="s">
        <v>2025</v>
      </c>
      <c r="Q199" s="865"/>
      <c r="R199" s="866"/>
      <c r="S199" s="873">
        <v>275</v>
      </c>
      <c r="T199" s="874">
        <v>3.47</v>
      </c>
      <c r="U199" s="864">
        <v>2418</v>
      </c>
      <c r="V199" s="864">
        <v>1632</v>
      </c>
      <c r="W199" s="864">
        <v>225.4</v>
      </c>
    </row>
    <row r="200" spans="1:23">
      <c r="A200" s="861">
        <v>10086</v>
      </c>
      <c r="B200" s="868" t="s">
        <v>2691</v>
      </c>
      <c r="C200" s="863">
        <v>305</v>
      </c>
      <c r="D200" s="863">
        <v>305</v>
      </c>
      <c r="E200" s="863">
        <v>306</v>
      </c>
      <c r="F200" s="855">
        <v>22</v>
      </c>
      <c r="G200" s="855">
        <v>22</v>
      </c>
      <c r="H200" s="855">
        <v>9.8000000000000007</v>
      </c>
      <c r="I200" s="855">
        <v>0.63</v>
      </c>
      <c r="J200" s="855">
        <v>0.63</v>
      </c>
      <c r="K200" s="855">
        <v>0.15</v>
      </c>
      <c r="L200" s="855">
        <v>10</v>
      </c>
      <c r="M200" s="855">
        <v>0.1</v>
      </c>
      <c r="N200" s="855"/>
      <c r="O200" s="867">
        <v>2</v>
      </c>
      <c r="P200" s="848" t="s">
        <v>2691</v>
      </c>
      <c r="Q200" s="865"/>
      <c r="R200" s="866"/>
      <c r="S200" s="873">
        <v>276</v>
      </c>
      <c r="T200" s="874">
        <v>2.9350000000000001</v>
      </c>
      <c r="U200" s="864">
        <v>1282</v>
      </c>
      <c r="V200" s="864">
        <v>706</v>
      </c>
      <c r="W200" s="864">
        <v>196</v>
      </c>
    </row>
    <row r="201" spans="1:23">
      <c r="A201" s="861">
        <v>10087</v>
      </c>
      <c r="B201" s="868" t="s">
        <v>3589</v>
      </c>
      <c r="C201" s="863">
        <v>307</v>
      </c>
      <c r="D201" s="863">
        <v>308</v>
      </c>
      <c r="E201" s="863">
        <v>309</v>
      </c>
      <c r="F201" s="855">
        <v>15.7</v>
      </c>
      <c r="G201" s="855">
        <v>10.1</v>
      </c>
      <c r="H201" s="855">
        <v>5.9</v>
      </c>
      <c r="I201" s="855">
        <v>0.63</v>
      </c>
      <c r="J201" s="855">
        <v>0.38</v>
      </c>
      <c r="K201" s="855">
        <v>6.0999999999999999E-2</v>
      </c>
      <c r="L201" s="855">
        <v>6</v>
      </c>
      <c r="M201" s="855">
        <v>0.1</v>
      </c>
      <c r="N201" s="855"/>
      <c r="O201" s="867">
        <v>2</v>
      </c>
      <c r="P201" s="848" t="s">
        <v>3589</v>
      </c>
      <c r="Q201" s="865"/>
      <c r="R201" s="866"/>
      <c r="S201" s="873">
        <v>277</v>
      </c>
      <c r="T201" s="874">
        <v>5.66</v>
      </c>
      <c r="U201" s="864">
        <v>1807.15</v>
      </c>
      <c r="V201" s="864">
        <v>1156</v>
      </c>
      <c r="W201" s="864">
        <v>134</v>
      </c>
    </row>
    <row r="202" spans="1:23">
      <c r="A202" s="861">
        <v>10088</v>
      </c>
      <c r="B202" s="868" t="s">
        <v>3492</v>
      </c>
      <c r="C202" s="863">
        <v>319</v>
      </c>
      <c r="D202" s="863">
        <v>319</v>
      </c>
      <c r="E202" s="863">
        <v>320</v>
      </c>
      <c r="F202" s="855">
        <v>44</v>
      </c>
      <c r="G202" s="855">
        <v>44</v>
      </c>
      <c r="H202" s="855">
        <v>22</v>
      </c>
      <c r="I202" s="855">
        <v>1.04</v>
      </c>
      <c r="J202" s="855">
        <v>1.04</v>
      </c>
      <c r="K202" s="855">
        <v>0.28000000000000003</v>
      </c>
      <c r="L202" s="855">
        <v>20</v>
      </c>
      <c r="M202" s="855">
        <v>0.1</v>
      </c>
      <c r="N202" s="855"/>
      <c r="O202" s="867">
        <v>2</v>
      </c>
      <c r="P202" s="848" t="s">
        <v>3492</v>
      </c>
      <c r="Q202" s="865"/>
      <c r="R202" s="866"/>
      <c r="S202" s="873">
        <v>278</v>
      </c>
      <c r="T202" s="874">
        <v>3.9</v>
      </c>
      <c r="U202" s="864">
        <v>1604.96</v>
      </c>
      <c r="V202" s="864">
        <v>1156</v>
      </c>
      <c r="W202" s="864">
        <v>144</v>
      </c>
    </row>
    <row r="203" spans="1:23">
      <c r="A203" s="861">
        <v>10089</v>
      </c>
      <c r="B203" s="868" t="s">
        <v>345</v>
      </c>
      <c r="C203" s="863">
        <v>305</v>
      </c>
      <c r="D203" s="863">
        <v>305</v>
      </c>
      <c r="E203" s="863">
        <v>306</v>
      </c>
      <c r="F203" s="855">
        <v>22</v>
      </c>
      <c r="G203" s="855">
        <v>22</v>
      </c>
      <c r="H203" s="855">
        <v>9.8000000000000007</v>
      </c>
      <c r="I203" s="855">
        <v>0.63</v>
      </c>
      <c r="J203" s="855">
        <v>0.63</v>
      </c>
      <c r="K203" s="855">
        <v>0.15</v>
      </c>
      <c r="L203" s="855">
        <v>10</v>
      </c>
      <c r="M203" s="855">
        <v>0.1</v>
      </c>
      <c r="N203" s="855"/>
      <c r="O203" s="867">
        <v>2</v>
      </c>
      <c r="P203" s="848" t="s">
        <v>345</v>
      </c>
      <c r="Q203" s="865"/>
      <c r="R203" s="866"/>
      <c r="S203" s="873">
        <v>279</v>
      </c>
      <c r="T203" s="874">
        <v>4.2</v>
      </c>
      <c r="U203" s="864">
        <v>629.87</v>
      </c>
      <c r="V203" s="864">
        <v>461</v>
      </c>
      <c r="W203" s="864">
        <v>63</v>
      </c>
    </row>
    <row r="204" spans="1:23">
      <c r="A204" s="861">
        <v>10090</v>
      </c>
      <c r="B204" s="868" t="s">
        <v>2461</v>
      </c>
      <c r="C204" s="863">
        <v>319</v>
      </c>
      <c r="D204" s="863">
        <v>319</v>
      </c>
      <c r="E204" s="863">
        <v>320</v>
      </c>
      <c r="F204" s="855">
        <v>44</v>
      </c>
      <c r="G204" s="855">
        <v>44</v>
      </c>
      <c r="H204" s="855">
        <v>22</v>
      </c>
      <c r="I204" s="855">
        <v>1.04</v>
      </c>
      <c r="J204" s="855">
        <v>1.04</v>
      </c>
      <c r="K204" s="855">
        <v>0.28000000000000003</v>
      </c>
      <c r="L204" s="855">
        <v>20</v>
      </c>
      <c r="M204" s="855">
        <v>0.1</v>
      </c>
      <c r="N204" s="855"/>
      <c r="O204" s="867">
        <v>2</v>
      </c>
      <c r="P204" s="848" t="s">
        <v>2461</v>
      </c>
      <c r="Q204" s="865"/>
      <c r="R204" s="866"/>
      <c r="S204" s="873">
        <v>280</v>
      </c>
      <c r="T204" s="874">
        <v>4.08</v>
      </c>
      <c r="U204" s="864">
        <v>2409.6375663267318</v>
      </c>
      <c r="V204" s="864">
        <v>1617</v>
      </c>
      <c r="W204" s="864">
        <v>194.1</v>
      </c>
    </row>
    <row r="205" spans="1:23">
      <c r="A205" s="861">
        <v>10091</v>
      </c>
      <c r="B205" s="868" t="s">
        <v>3196</v>
      </c>
      <c r="C205" s="863">
        <v>319</v>
      </c>
      <c r="D205" s="863">
        <v>319</v>
      </c>
      <c r="E205" s="863">
        <v>320</v>
      </c>
      <c r="F205" s="855">
        <v>44</v>
      </c>
      <c r="G205" s="855">
        <v>44</v>
      </c>
      <c r="H205" s="855">
        <v>22</v>
      </c>
      <c r="I205" s="855">
        <v>1.04</v>
      </c>
      <c r="J205" s="855">
        <v>1.04</v>
      </c>
      <c r="K205" s="855">
        <v>0.28000000000000003</v>
      </c>
      <c r="L205" s="855">
        <v>20</v>
      </c>
      <c r="M205" s="855">
        <v>0.1</v>
      </c>
      <c r="N205" s="855"/>
      <c r="O205" s="867">
        <v>2</v>
      </c>
      <c r="P205" s="848" t="s">
        <v>3196</v>
      </c>
      <c r="Q205" s="865"/>
      <c r="R205" s="866"/>
      <c r="S205" s="873">
        <v>281</v>
      </c>
      <c r="T205" s="874">
        <v>2.78</v>
      </c>
      <c r="U205" s="864">
        <v>2156.9125451790778</v>
      </c>
      <c r="V205" s="864">
        <v>1617</v>
      </c>
      <c r="W205" s="864">
        <v>215</v>
      </c>
    </row>
    <row r="206" spans="1:23">
      <c r="A206" s="861">
        <v>10092</v>
      </c>
      <c r="B206" s="868" t="s">
        <v>1896</v>
      </c>
      <c r="C206" s="863">
        <v>334</v>
      </c>
      <c r="D206" s="863">
        <v>334</v>
      </c>
      <c r="E206" s="863">
        <v>335</v>
      </c>
      <c r="F206" s="855">
        <v>3.5</v>
      </c>
      <c r="G206" s="855">
        <v>3.5</v>
      </c>
      <c r="H206" s="855">
        <v>1.5</v>
      </c>
      <c r="I206" s="855">
        <v>3.2000000000000001E-2</v>
      </c>
      <c r="J206" s="855">
        <v>3.2000000000000001E-2</v>
      </c>
      <c r="K206" s="855">
        <v>5.0000000000000001E-3</v>
      </c>
      <c r="L206" s="855">
        <v>2</v>
      </c>
      <c r="M206" s="855">
        <v>6.5000000000000002E-2</v>
      </c>
      <c r="N206" s="855"/>
      <c r="O206" s="867">
        <v>2</v>
      </c>
      <c r="P206" s="848" t="s">
        <v>1896</v>
      </c>
      <c r="Q206" s="865"/>
      <c r="R206" s="866">
        <v>9.5000000000000001E-2</v>
      </c>
      <c r="S206" s="873">
        <v>282</v>
      </c>
      <c r="T206" s="874">
        <v>2.93</v>
      </c>
      <c r="U206" s="864">
        <v>936.1352290242944</v>
      </c>
      <c r="V206" s="864">
        <v>706</v>
      </c>
      <c r="W206" s="864">
        <v>103</v>
      </c>
    </row>
    <row r="207" spans="1:23">
      <c r="A207" s="861">
        <v>10093</v>
      </c>
      <c r="B207" s="868" t="s">
        <v>1646</v>
      </c>
      <c r="C207" s="863">
        <v>336</v>
      </c>
      <c r="D207" s="863">
        <v>337</v>
      </c>
      <c r="E207" s="863" t="s">
        <v>32</v>
      </c>
      <c r="F207" s="855">
        <v>3.5</v>
      </c>
      <c r="G207" s="855">
        <v>0</v>
      </c>
      <c r="H207" s="855" t="s">
        <v>32</v>
      </c>
      <c r="I207" s="855">
        <v>6.4000000000000001E-2</v>
      </c>
      <c r="J207" s="855">
        <v>0.01</v>
      </c>
      <c r="K207" s="855" t="s">
        <v>32</v>
      </c>
      <c r="L207" s="855">
        <v>4</v>
      </c>
      <c r="M207" s="855">
        <v>6.5000000000000002E-2</v>
      </c>
      <c r="N207" s="855"/>
      <c r="O207" s="867">
        <v>2</v>
      </c>
      <c r="P207" s="848" t="s">
        <v>1646</v>
      </c>
      <c r="Q207" s="865"/>
      <c r="R207" s="866">
        <v>9.5000000000000001E-2</v>
      </c>
      <c r="S207" s="873">
        <v>283</v>
      </c>
      <c r="T207" s="874">
        <v>3.67</v>
      </c>
      <c r="U207" s="864">
        <v>3653.6</v>
      </c>
      <c r="V207" s="864">
        <v>2458</v>
      </c>
      <c r="W207" s="864">
        <v>388</v>
      </c>
    </row>
    <row r="208" spans="1:23">
      <c r="A208" s="861">
        <v>10094</v>
      </c>
      <c r="B208" s="868" t="s">
        <v>1025</v>
      </c>
      <c r="C208" s="863">
        <v>338</v>
      </c>
      <c r="D208" s="863">
        <v>348</v>
      </c>
      <c r="E208" s="863">
        <v>339</v>
      </c>
      <c r="F208" s="855">
        <v>2744</v>
      </c>
      <c r="G208" s="855">
        <v>2744</v>
      </c>
      <c r="H208" s="855">
        <v>1725</v>
      </c>
      <c r="I208" s="855">
        <v>1098</v>
      </c>
      <c r="J208" s="855">
        <v>1098</v>
      </c>
      <c r="K208" s="855">
        <v>444</v>
      </c>
      <c r="L208" s="855">
        <v>400</v>
      </c>
      <c r="M208" s="855">
        <v>0.3</v>
      </c>
      <c r="N208" s="855"/>
      <c r="O208" s="867">
        <v>6</v>
      </c>
      <c r="P208" s="848" t="s">
        <v>1025</v>
      </c>
      <c r="Q208" s="865"/>
      <c r="R208" s="866"/>
      <c r="S208" s="873">
        <v>284</v>
      </c>
      <c r="T208" s="874">
        <v>2.62</v>
      </c>
      <c r="U208" s="864">
        <v>3311.5</v>
      </c>
      <c r="V208" s="864">
        <v>2458</v>
      </c>
      <c r="W208" s="864">
        <v>396</v>
      </c>
    </row>
    <row r="209" spans="1:31">
      <c r="A209" s="861">
        <v>10095</v>
      </c>
      <c r="B209" s="868" t="s">
        <v>1026</v>
      </c>
      <c r="C209" s="863">
        <v>338</v>
      </c>
      <c r="D209" s="863">
        <v>348</v>
      </c>
      <c r="E209" s="863">
        <v>339</v>
      </c>
      <c r="F209" s="855">
        <v>2744</v>
      </c>
      <c r="G209" s="855">
        <v>2744</v>
      </c>
      <c r="H209" s="855">
        <v>1725</v>
      </c>
      <c r="I209" s="855">
        <v>1098</v>
      </c>
      <c r="J209" s="855">
        <v>1098</v>
      </c>
      <c r="K209" s="855">
        <v>444</v>
      </c>
      <c r="L209" s="855">
        <v>400</v>
      </c>
      <c r="M209" s="855">
        <v>0.32500000000000001</v>
      </c>
      <c r="N209" s="855"/>
      <c r="O209" s="867">
        <v>6</v>
      </c>
      <c r="P209" s="848" t="s">
        <v>1025</v>
      </c>
      <c r="Q209" s="865" t="s">
        <v>872</v>
      </c>
      <c r="R209" s="866"/>
      <c r="S209" s="873">
        <v>285</v>
      </c>
      <c r="T209" s="874">
        <v>2.7</v>
      </c>
      <c r="U209" s="864">
        <v>1315.2</v>
      </c>
      <c r="V209" s="864">
        <v>891.8</v>
      </c>
      <c r="W209" s="864">
        <v>174</v>
      </c>
    </row>
    <row r="210" spans="1:31">
      <c r="A210" s="861">
        <v>10096</v>
      </c>
      <c r="B210" s="868" t="s">
        <v>2342</v>
      </c>
      <c r="C210" s="863">
        <v>302</v>
      </c>
      <c r="D210" s="863">
        <v>302</v>
      </c>
      <c r="E210" s="863">
        <v>303</v>
      </c>
      <c r="F210" s="855">
        <v>11.9</v>
      </c>
      <c r="G210" s="855">
        <v>11.9</v>
      </c>
      <c r="H210" s="855">
        <v>6.7</v>
      </c>
      <c r="I210" s="855">
        <v>0.3</v>
      </c>
      <c r="J210" s="855">
        <v>0.3</v>
      </c>
      <c r="K210" s="855">
        <v>0.1</v>
      </c>
      <c r="L210" s="855">
        <v>5</v>
      </c>
      <c r="M210" s="855">
        <v>0.08</v>
      </c>
      <c r="N210" s="855"/>
      <c r="O210" s="867">
        <v>3</v>
      </c>
      <c r="P210" s="848" t="s">
        <v>2342</v>
      </c>
      <c r="Q210" s="865"/>
      <c r="R210" s="866"/>
      <c r="S210" s="873">
        <v>286</v>
      </c>
      <c r="T210" s="874">
        <v>2.5499999999999998</v>
      </c>
      <c r="U210" s="864">
        <v>3459</v>
      </c>
      <c r="V210" s="864">
        <v>2458</v>
      </c>
      <c r="W210" s="864">
        <v>392</v>
      </c>
    </row>
    <row r="211" spans="1:31">
      <c r="A211" s="861">
        <v>10097</v>
      </c>
      <c r="B211" s="868" t="s">
        <v>3008</v>
      </c>
      <c r="C211" s="863">
        <v>302</v>
      </c>
      <c r="D211" s="863">
        <v>302</v>
      </c>
      <c r="E211" s="863">
        <v>303</v>
      </c>
      <c r="F211" s="855">
        <v>11.9</v>
      </c>
      <c r="G211" s="855">
        <v>11.9</v>
      </c>
      <c r="H211" s="855">
        <v>6.7</v>
      </c>
      <c r="I211" s="855">
        <v>0.3</v>
      </c>
      <c r="J211" s="855">
        <v>0.3</v>
      </c>
      <c r="K211" s="855">
        <v>0.1</v>
      </c>
      <c r="L211" s="855">
        <v>5</v>
      </c>
      <c r="M211" s="855">
        <v>0.08</v>
      </c>
      <c r="N211" s="855"/>
      <c r="O211" s="867">
        <v>3</v>
      </c>
      <c r="P211" s="848" t="s">
        <v>3008</v>
      </c>
      <c r="Q211" s="865"/>
      <c r="R211" s="866"/>
      <c r="S211" s="873">
        <v>287</v>
      </c>
      <c r="T211" s="874">
        <v>1.85</v>
      </c>
      <c r="U211" s="864">
        <v>3187</v>
      </c>
      <c r="V211" s="864">
        <v>2458</v>
      </c>
      <c r="W211" s="864">
        <v>396</v>
      </c>
    </row>
    <row r="212" spans="1:31">
      <c r="A212" s="861">
        <v>10098</v>
      </c>
      <c r="B212" s="868" t="s">
        <v>720</v>
      </c>
      <c r="C212" s="863">
        <v>302</v>
      </c>
      <c r="D212" s="863">
        <v>340</v>
      </c>
      <c r="E212" s="863" t="s">
        <v>32</v>
      </c>
      <c r="F212" s="855">
        <v>11.9</v>
      </c>
      <c r="G212" s="855">
        <v>4</v>
      </c>
      <c r="H212" s="855" t="s">
        <v>32</v>
      </c>
      <c r="I212" s="855">
        <v>0.3</v>
      </c>
      <c r="J212" s="855">
        <v>3.5999999999999997E-2</v>
      </c>
      <c r="K212" s="855" t="s">
        <v>32</v>
      </c>
      <c r="L212" s="855">
        <v>5</v>
      </c>
      <c r="M212" s="855">
        <v>0.08</v>
      </c>
      <c r="N212" s="855"/>
      <c r="O212" s="867">
        <v>3</v>
      </c>
      <c r="P212" s="848" t="s">
        <v>720</v>
      </c>
      <c r="Q212" s="865"/>
      <c r="R212" s="866"/>
      <c r="S212" s="873">
        <v>288</v>
      </c>
      <c r="T212" s="874">
        <v>1.56</v>
      </c>
      <c r="U212" s="864">
        <v>1443</v>
      </c>
      <c r="V212" s="864">
        <v>891.8</v>
      </c>
      <c r="W212" s="864">
        <v>352.8</v>
      </c>
    </row>
    <row r="213" spans="1:31">
      <c r="A213" s="861">
        <v>10099</v>
      </c>
      <c r="B213" s="868" t="s">
        <v>721</v>
      </c>
      <c r="C213" s="863">
        <v>302</v>
      </c>
      <c r="D213" s="863">
        <v>340</v>
      </c>
      <c r="E213" s="863" t="s">
        <v>1122</v>
      </c>
      <c r="F213" s="855">
        <v>11.9</v>
      </c>
      <c r="G213" s="855">
        <v>4</v>
      </c>
      <c r="H213" s="855" t="s">
        <v>32</v>
      </c>
      <c r="I213" s="855">
        <v>0.3</v>
      </c>
      <c r="J213" s="855">
        <v>3.5999999999999997E-2</v>
      </c>
      <c r="K213" s="855" t="s">
        <v>32</v>
      </c>
      <c r="L213" s="855">
        <v>5</v>
      </c>
      <c r="M213" s="855">
        <v>0.08</v>
      </c>
      <c r="N213" s="855"/>
      <c r="O213" s="867">
        <v>3</v>
      </c>
      <c r="P213" s="848" t="s">
        <v>721</v>
      </c>
      <c r="Q213" s="865"/>
      <c r="R213" s="866"/>
      <c r="S213" s="872">
        <v>289</v>
      </c>
      <c r="T213" s="831">
        <v>25.6</v>
      </c>
      <c r="U213" s="831">
        <v>26</v>
      </c>
      <c r="V213" s="831">
        <v>19.600000000000001</v>
      </c>
      <c r="W213" s="831">
        <v>0.25</v>
      </c>
    </row>
    <row r="214" spans="1:31">
      <c r="A214" s="861">
        <v>10100</v>
      </c>
      <c r="B214" s="868" t="s">
        <v>719</v>
      </c>
      <c r="C214" s="863">
        <v>302</v>
      </c>
      <c r="D214" s="863">
        <v>302</v>
      </c>
      <c r="E214" s="863">
        <v>303</v>
      </c>
      <c r="F214" s="855">
        <v>11.9</v>
      </c>
      <c r="G214" s="855">
        <v>11.9</v>
      </c>
      <c r="H214" s="855">
        <v>6.7</v>
      </c>
      <c r="I214" s="855">
        <v>0.3</v>
      </c>
      <c r="J214" s="855">
        <v>0.3</v>
      </c>
      <c r="K214" s="855">
        <v>0.1</v>
      </c>
      <c r="L214" s="855">
        <v>5</v>
      </c>
      <c r="M214" s="855">
        <v>0.08</v>
      </c>
      <c r="N214" s="855"/>
      <c r="O214" s="867">
        <v>3</v>
      </c>
      <c r="P214" s="848" t="s">
        <v>719</v>
      </c>
      <c r="Q214" s="865"/>
      <c r="R214" s="866"/>
      <c r="S214" s="872">
        <v>290</v>
      </c>
      <c r="T214" s="831">
        <v>26.47</v>
      </c>
      <c r="U214" s="831">
        <v>14.3</v>
      </c>
      <c r="V214" s="831">
        <v>9.8000000000000007</v>
      </c>
      <c r="W214" s="831">
        <v>0.17</v>
      </c>
    </row>
    <row r="215" spans="1:31">
      <c r="A215" s="861">
        <v>10101</v>
      </c>
      <c r="B215" s="868" t="s">
        <v>783</v>
      </c>
      <c r="C215" s="863">
        <v>302</v>
      </c>
      <c r="D215" s="863">
        <v>302</v>
      </c>
      <c r="E215" s="863">
        <v>303</v>
      </c>
      <c r="F215" s="855">
        <v>11.9</v>
      </c>
      <c r="G215" s="855">
        <v>11.9</v>
      </c>
      <c r="H215" s="855">
        <v>6.7</v>
      </c>
      <c r="I215" s="855">
        <v>0.3</v>
      </c>
      <c r="J215" s="855">
        <v>0.3</v>
      </c>
      <c r="K215" s="855">
        <v>0.1</v>
      </c>
      <c r="L215" s="855">
        <v>5</v>
      </c>
      <c r="M215" s="855">
        <v>0.08</v>
      </c>
      <c r="N215" s="855"/>
      <c r="O215" s="867">
        <v>3</v>
      </c>
      <c r="P215" s="848" t="s">
        <v>783</v>
      </c>
      <c r="Q215" s="865"/>
      <c r="R215" s="866"/>
      <c r="S215" s="872">
        <v>291</v>
      </c>
      <c r="T215" s="831">
        <v>6.54</v>
      </c>
      <c r="U215" s="831">
        <v>1691</v>
      </c>
      <c r="V215" s="831">
        <v>921</v>
      </c>
      <c r="W215" s="831">
        <v>181</v>
      </c>
    </row>
    <row r="216" spans="1:31">
      <c r="A216" s="861">
        <v>10102</v>
      </c>
      <c r="B216" s="868" t="s">
        <v>3734</v>
      </c>
      <c r="C216" s="863">
        <v>302</v>
      </c>
      <c r="D216" s="863">
        <v>302</v>
      </c>
      <c r="E216" s="863">
        <v>303</v>
      </c>
      <c r="F216" s="855">
        <v>11.9</v>
      </c>
      <c r="G216" s="855">
        <v>11.9</v>
      </c>
      <c r="H216" s="855">
        <v>6.7</v>
      </c>
      <c r="I216" s="855">
        <v>0.3</v>
      </c>
      <c r="J216" s="855">
        <v>0.3</v>
      </c>
      <c r="K216" s="855">
        <v>0.1</v>
      </c>
      <c r="L216" s="855">
        <v>5</v>
      </c>
      <c r="M216" s="855">
        <v>0.08</v>
      </c>
      <c r="N216" s="855"/>
      <c r="O216" s="867">
        <v>3</v>
      </c>
      <c r="P216" s="848" t="s">
        <v>3734</v>
      </c>
      <c r="Q216" s="865"/>
      <c r="R216" s="866"/>
      <c r="S216" s="872">
        <v>292</v>
      </c>
      <c r="T216" s="831">
        <v>7.11</v>
      </c>
      <c r="U216" s="831">
        <v>1758</v>
      </c>
      <c r="V216" s="831">
        <v>921</v>
      </c>
      <c r="W216" s="831">
        <v>206</v>
      </c>
      <c r="Y216" s="91" t="s">
        <v>1102</v>
      </c>
      <c r="AB216" s="91" t="s">
        <v>1103</v>
      </c>
    </row>
    <row r="217" spans="1:31">
      <c r="A217" s="861">
        <v>10103</v>
      </c>
      <c r="B217" s="868" t="s">
        <v>2522</v>
      </c>
      <c r="C217" s="863">
        <v>341</v>
      </c>
      <c r="D217" s="863">
        <v>342</v>
      </c>
      <c r="E217" s="863">
        <v>343</v>
      </c>
      <c r="F217" s="855">
        <v>206</v>
      </c>
      <c r="G217" s="855">
        <v>176</v>
      </c>
      <c r="H217" s="855">
        <v>98</v>
      </c>
      <c r="I217" s="855">
        <v>28</v>
      </c>
      <c r="J217" s="855">
        <v>10.8</v>
      </c>
      <c r="K217" s="855">
        <v>3.3</v>
      </c>
      <c r="L217" s="855">
        <v>50</v>
      </c>
      <c r="M217" s="855">
        <v>0.17</v>
      </c>
      <c r="N217" s="855"/>
      <c r="O217" s="867">
        <v>2</v>
      </c>
      <c r="P217" s="848" t="s">
        <v>2522</v>
      </c>
      <c r="Q217" s="865"/>
      <c r="R217" s="845">
        <v>0.16</v>
      </c>
      <c r="S217" s="872">
        <v>293</v>
      </c>
      <c r="T217" s="831">
        <v>6.39</v>
      </c>
      <c r="U217" s="831">
        <v>1088</v>
      </c>
      <c r="V217" s="831">
        <v>461</v>
      </c>
      <c r="W217" s="831">
        <v>100</v>
      </c>
      <c r="X217" s="180" t="s">
        <v>1100</v>
      </c>
      <c r="Y217" s="91" t="s">
        <v>1101</v>
      </c>
      <c r="Z217" s="91" t="s">
        <v>1618</v>
      </c>
      <c r="AA217" s="91" t="s">
        <v>270</v>
      </c>
      <c r="AB217" s="91" t="s">
        <v>1101</v>
      </c>
      <c r="AC217" s="91" t="s">
        <v>1618</v>
      </c>
      <c r="AD217" s="91" t="s">
        <v>270</v>
      </c>
      <c r="AE217" s="91" t="s">
        <v>1104</v>
      </c>
    </row>
    <row r="218" spans="1:31">
      <c r="A218" s="861">
        <v>10104</v>
      </c>
      <c r="B218" s="868" t="s">
        <v>2118</v>
      </c>
      <c r="C218" s="863">
        <v>332</v>
      </c>
      <c r="D218" s="863">
        <v>344</v>
      </c>
      <c r="E218" s="863">
        <v>333</v>
      </c>
      <c r="F218" s="855">
        <v>14700</v>
      </c>
      <c r="G218" s="855">
        <v>14700</v>
      </c>
      <c r="H218" s="855">
        <v>4900</v>
      </c>
      <c r="I218" s="855">
        <v>2989</v>
      </c>
      <c r="J218" s="855">
        <v>2989</v>
      </c>
      <c r="K218" s="855">
        <v>2195</v>
      </c>
      <c r="L218" s="855">
        <v>1350</v>
      </c>
      <c r="M218" s="855">
        <v>0.44500000000000001</v>
      </c>
      <c r="N218" s="855"/>
      <c r="O218" s="867">
        <v>3</v>
      </c>
      <c r="P218" s="848" t="s">
        <v>2118</v>
      </c>
      <c r="Q218" s="865"/>
      <c r="R218" s="845"/>
      <c r="S218" s="875">
        <v>294</v>
      </c>
      <c r="T218" s="831">
        <v>8.06</v>
      </c>
      <c r="U218" s="831">
        <v>757</v>
      </c>
      <c r="V218" s="831">
        <v>441</v>
      </c>
      <c r="W218" s="831">
        <v>93.9</v>
      </c>
      <c r="X218" s="180">
        <v>0.1</v>
      </c>
      <c r="Y218" s="553">
        <v>0.11</v>
      </c>
      <c r="Z218" s="554">
        <v>0.09</v>
      </c>
      <c r="AA218" s="555">
        <v>0.04</v>
      </c>
      <c r="AB218" s="556">
        <v>1.4E-3</v>
      </c>
      <c r="AC218" s="556">
        <v>1E-3</v>
      </c>
      <c r="AD218" s="555">
        <v>2.3000000000000001E-4</v>
      </c>
      <c r="AE218" s="554">
        <v>0.1</v>
      </c>
    </row>
    <row r="219" spans="1:31">
      <c r="A219" s="840">
        <v>10105</v>
      </c>
      <c r="B219" s="841" t="s">
        <v>2989</v>
      </c>
      <c r="C219" s="842">
        <v>349</v>
      </c>
      <c r="D219" s="842">
        <v>350</v>
      </c>
      <c r="E219" s="842">
        <v>351</v>
      </c>
      <c r="F219" s="848">
        <f t="shared" ref="F219:K219" si="0">IF(Anal_Input_1&lt;=$X218,Y218,IF(Anal_Input_1&lt;=$X219,Y218+(Y219-Y218)/($X219-$X218)*(Anal_Input_1-$X218),IF(Anal_Input_1&lt;=$X220,Y219+(Y220-Y219)/($X220-$X219)*(Anal_Input_1-$X219),Y220)))</f>
        <v>0.54</v>
      </c>
      <c r="G219" s="848">
        <f t="shared" si="0"/>
        <v>0.44</v>
      </c>
      <c r="H219" s="848">
        <f t="shared" si="0"/>
        <v>0.18</v>
      </c>
      <c r="I219" s="848">
        <f t="shared" si="0"/>
        <v>6.1999999999999998E-3</v>
      </c>
      <c r="J219" s="848">
        <f t="shared" si="0"/>
        <v>4.1999999999999997E-3</v>
      </c>
      <c r="K219" s="848">
        <f t="shared" si="0"/>
        <v>9.2000000000000003E-4</v>
      </c>
      <c r="L219" s="848">
        <f>AE220</f>
        <v>0.5</v>
      </c>
      <c r="M219" s="831">
        <v>2.9000000000000001E-2</v>
      </c>
      <c r="N219" s="831"/>
      <c r="O219" s="842">
        <v>2</v>
      </c>
      <c r="P219" s="831" t="s">
        <v>2989</v>
      </c>
      <c r="Q219" s="831"/>
      <c r="R219" s="832">
        <v>3.95E-2</v>
      </c>
      <c r="S219" s="872">
        <v>295</v>
      </c>
      <c r="T219" s="831">
        <v>17.07</v>
      </c>
      <c r="U219" s="831">
        <v>513</v>
      </c>
      <c r="V219" s="831">
        <v>245</v>
      </c>
      <c r="W219" s="831">
        <v>30.03</v>
      </c>
      <c r="X219" s="180">
        <v>0.3</v>
      </c>
      <c r="Y219" s="553">
        <v>0.33</v>
      </c>
      <c r="Z219" s="554">
        <v>0.27</v>
      </c>
      <c r="AA219" s="555">
        <v>0.11</v>
      </c>
      <c r="AB219" s="556">
        <v>4.0000000000000001E-3</v>
      </c>
      <c r="AC219" s="556">
        <v>2.7000000000000001E-3</v>
      </c>
      <c r="AD219" s="555">
        <v>6.2E-4</v>
      </c>
      <c r="AE219" s="554">
        <v>0.3</v>
      </c>
    </row>
    <row r="220" spans="1:31">
      <c r="A220" s="840">
        <v>10106</v>
      </c>
      <c r="B220" s="841" t="s">
        <v>2240</v>
      </c>
      <c r="C220" s="842">
        <v>352</v>
      </c>
      <c r="D220" s="842">
        <v>353</v>
      </c>
      <c r="E220" s="842">
        <v>354</v>
      </c>
      <c r="F220" s="848">
        <v>1225</v>
      </c>
      <c r="G220" s="848">
        <v>1225</v>
      </c>
      <c r="H220" s="848">
        <v>706</v>
      </c>
      <c r="I220" s="848">
        <v>141.1</v>
      </c>
      <c r="J220" s="848">
        <v>141.1</v>
      </c>
      <c r="K220" s="848">
        <v>78.400000000000006</v>
      </c>
      <c r="L220" s="848">
        <v>185</v>
      </c>
      <c r="M220" s="831">
        <v>0.23499999999999999</v>
      </c>
      <c r="N220" s="831"/>
      <c r="O220" s="842">
        <v>1</v>
      </c>
      <c r="P220" s="831" t="s">
        <v>2240</v>
      </c>
      <c r="Q220" s="831"/>
      <c r="R220" s="832"/>
      <c r="S220" s="872">
        <v>296</v>
      </c>
      <c r="T220" s="831">
        <v>7.43</v>
      </c>
      <c r="U220" s="831">
        <v>1416</v>
      </c>
      <c r="V220" s="831">
        <v>833</v>
      </c>
      <c r="W220" s="831">
        <v>180.63</v>
      </c>
      <c r="X220" s="180">
        <v>0.5</v>
      </c>
      <c r="Y220" s="553">
        <v>0.54</v>
      </c>
      <c r="Z220" s="554">
        <v>0.44</v>
      </c>
      <c r="AA220" s="555">
        <v>0.18</v>
      </c>
      <c r="AB220" s="556">
        <v>6.1999999999999998E-3</v>
      </c>
      <c r="AC220" s="556">
        <v>4.1999999999999997E-3</v>
      </c>
      <c r="AD220" s="555">
        <v>9.2000000000000003E-4</v>
      </c>
      <c r="AE220" s="554">
        <v>0.5</v>
      </c>
    </row>
    <row r="221" spans="1:31">
      <c r="A221" s="840">
        <v>10107</v>
      </c>
      <c r="B221" s="841" t="s">
        <v>2241</v>
      </c>
      <c r="C221" s="842">
        <v>352</v>
      </c>
      <c r="D221" s="842">
        <v>353</v>
      </c>
      <c r="E221" s="842">
        <v>354</v>
      </c>
      <c r="F221" s="848">
        <v>1225</v>
      </c>
      <c r="G221" s="848">
        <v>1225</v>
      </c>
      <c r="H221" s="848">
        <v>706</v>
      </c>
      <c r="I221" s="848">
        <v>141.1</v>
      </c>
      <c r="J221" s="848">
        <v>141.1</v>
      </c>
      <c r="K221" s="848">
        <v>78.400000000000006</v>
      </c>
      <c r="L221" s="848">
        <v>185</v>
      </c>
      <c r="M221" s="831">
        <v>0.25800000000000001</v>
      </c>
      <c r="N221" s="831"/>
      <c r="O221" s="842">
        <v>1</v>
      </c>
      <c r="P221" s="831" t="s">
        <v>2240</v>
      </c>
      <c r="Q221" s="831" t="s">
        <v>872</v>
      </c>
      <c r="R221" s="832"/>
      <c r="S221" s="872">
        <v>297</v>
      </c>
      <c r="T221" s="831">
        <v>7.11</v>
      </c>
      <c r="U221" s="831">
        <v>1391</v>
      </c>
      <c r="V221" s="831">
        <v>833</v>
      </c>
      <c r="W221" s="831">
        <v>195.49</v>
      </c>
      <c r="X221" s="180">
        <v>1</v>
      </c>
      <c r="Y221" s="197">
        <v>0.99</v>
      </c>
      <c r="Z221" s="197">
        <v>0.79</v>
      </c>
      <c r="AA221" s="197">
        <v>0.32</v>
      </c>
      <c r="AB221" s="197">
        <v>1.06E-2</v>
      </c>
      <c r="AC221" s="197">
        <v>7.0000000000000001E-3</v>
      </c>
      <c r="AD221" s="197">
        <v>1.6000000000000001E-3</v>
      </c>
      <c r="AE221" s="197">
        <v>1</v>
      </c>
    </row>
    <row r="222" spans="1:31">
      <c r="A222" s="840">
        <v>10108</v>
      </c>
      <c r="B222" s="841" t="s">
        <v>2688</v>
      </c>
      <c r="C222" s="842">
        <v>355</v>
      </c>
      <c r="D222" s="842">
        <v>356</v>
      </c>
      <c r="E222" s="842">
        <v>357</v>
      </c>
      <c r="F222" s="848">
        <v>1382</v>
      </c>
      <c r="G222" s="848">
        <v>1382</v>
      </c>
      <c r="H222" s="848">
        <v>715</v>
      </c>
      <c r="I222" s="848">
        <v>141.1</v>
      </c>
      <c r="J222" s="848">
        <v>141.1</v>
      </c>
      <c r="K222" s="848">
        <v>78.400000000000006</v>
      </c>
      <c r="L222" s="848">
        <v>250</v>
      </c>
      <c r="M222" s="831">
        <v>0.23499999999999999</v>
      </c>
      <c r="N222" s="831"/>
      <c r="O222" s="842">
        <v>1</v>
      </c>
      <c r="P222" s="831" t="s">
        <v>2688</v>
      </c>
      <c r="Q222" s="831"/>
      <c r="R222" s="832"/>
      <c r="S222" s="872">
        <v>298</v>
      </c>
      <c r="T222" s="831">
        <v>10.43</v>
      </c>
      <c r="U222" s="831">
        <v>841</v>
      </c>
      <c r="V222" s="831">
        <v>421</v>
      </c>
      <c r="W222" s="831">
        <v>80.569999999999993</v>
      </c>
      <c r="Y222" s="91" t="s">
        <v>1102</v>
      </c>
      <c r="AB222" s="91" t="s">
        <v>1103</v>
      </c>
    </row>
    <row r="223" spans="1:31">
      <c r="A223" s="840">
        <v>10109</v>
      </c>
      <c r="B223" s="841" t="s">
        <v>2689</v>
      </c>
      <c r="C223" s="842">
        <v>355</v>
      </c>
      <c r="D223" s="842">
        <v>356</v>
      </c>
      <c r="E223" s="842">
        <v>357</v>
      </c>
      <c r="F223" s="848">
        <v>1382</v>
      </c>
      <c r="G223" s="848">
        <v>1382</v>
      </c>
      <c r="H223" s="848">
        <v>715</v>
      </c>
      <c r="I223" s="848">
        <v>141.1</v>
      </c>
      <c r="J223" s="848">
        <v>141.1</v>
      </c>
      <c r="K223" s="848">
        <v>78.400000000000006</v>
      </c>
      <c r="L223" s="848">
        <v>250</v>
      </c>
      <c r="M223" s="831">
        <v>0.25800000000000001</v>
      </c>
      <c r="N223" s="831"/>
      <c r="O223" s="842">
        <v>1</v>
      </c>
      <c r="P223" s="831" t="s">
        <v>2688</v>
      </c>
      <c r="Q223" s="831" t="s">
        <v>872</v>
      </c>
      <c r="R223" s="832"/>
      <c r="S223" s="872">
        <v>299</v>
      </c>
      <c r="T223" s="831">
        <v>5.67</v>
      </c>
      <c r="U223" s="831">
        <v>1366</v>
      </c>
      <c r="V223" s="831">
        <v>921</v>
      </c>
      <c r="W223" s="831">
        <v>124</v>
      </c>
      <c r="X223" s="180" t="s">
        <v>2515</v>
      </c>
      <c r="Y223" s="91" t="s">
        <v>1101</v>
      </c>
      <c r="Z223" s="91" t="s">
        <v>1618</v>
      </c>
      <c r="AA223" s="91" t="s">
        <v>270</v>
      </c>
      <c r="AB223" s="91" t="s">
        <v>1101</v>
      </c>
      <c r="AC223" s="91" t="s">
        <v>1618</v>
      </c>
      <c r="AD223" s="91" t="s">
        <v>270</v>
      </c>
      <c r="AE223" s="91" t="s">
        <v>1104</v>
      </c>
    </row>
    <row r="224" spans="1:31">
      <c r="A224" s="840">
        <v>10110</v>
      </c>
      <c r="B224" s="841" t="s">
        <v>549</v>
      </c>
      <c r="C224" s="842">
        <v>358</v>
      </c>
      <c r="D224" s="842">
        <v>359</v>
      </c>
      <c r="E224" s="842">
        <v>360</v>
      </c>
      <c r="F224" s="848">
        <v>1666</v>
      </c>
      <c r="G224" s="848">
        <v>1666</v>
      </c>
      <c r="H224" s="848">
        <v>715.4</v>
      </c>
      <c r="I224" s="848">
        <v>313.60000000000002</v>
      </c>
      <c r="J224" s="848">
        <v>313.60000000000002</v>
      </c>
      <c r="K224" s="848">
        <v>225.4</v>
      </c>
      <c r="L224" s="848">
        <v>150</v>
      </c>
      <c r="M224" s="831">
        <v>0.27</v>
      </c>
      <c r="N224" s="831"/>
      <c r="O224" s="842">
        <v>1</v>
      </c>
      <c r="P224" s="831" t="s">
        <v>549</v>
      </c>
      <c r="Q224" s="831"/>
      <c r="R224" s="832"/>
      <c r="S224" s="872">
        <v>300</v>
      </c>
      <c r="T224" s="831">
        <v>3.91</v>
      </c>
      <c r="U224" s="831">
        <v>1228</v>
      </c>
      <c r="V224" s="831">
        <v>921</v>
      </c>
      <c r="W224" s="831">
        <v>128</v>
      </c>
      <c r="X224" s="180">
        <v>1</v>
      </c>
      <c r="Y224" s="197">
        <v>0</v>
      </c>
      <c r="Z224" s="197">
        <v>2.78</v>
      </c>
      <c r="AA224" s="197">
        <v>1.77</v>
      </c>
      <c r="AB224" s="197">
        <v>0.12</v>
      </c>
      <c r="AC224" s="197">
        <v>0.09</v>
      </c>
      <c r="AD224" s="197">
        <v>4.2999999999999997E-2</v>
      </c>
      <c r="AE224" s="197">
        <v>1</v>
      </c>
    </row>
    <row r="225" spans="1:31">
      <c r="A225" s="840">
        <v>10111</v>
      </c>
      <c r="B225" s="841" t="s">
        <v>3161</v>
      </c>
      <c r="C225" s="842">
        <v>361</v>
      </c>
      <c r="D225" s="842">
        <v>362</v>
      </c>
      <c r="E225" s="842">
        <v>363</v>
      </c>
      <c r="F225" s="848" t="s">
        <v>3723</v>
      </c>
      <c r="G225" s="848">
        <f>IF(Anal_Input_1&lt;=$X224,Z224,IF(Anal_Input_1&lt;=$X225,Z224+(Z225-Z224)/($X225-$X224)*(Anal_Input_1-$X224),IF(Anal_Input_1&lt;=$X226,Z225+(Z226-Z225)/($X226-$X225)*(Anal_Input_1-$X225),IF(Anal_Input_1&lt;=$X227,Z226+(Z227-Z226)/($X227-$X226)*(Anal_Input_1-$X226),IF(Anal_Input_1&lt;=$X228,Z227+(Z228-Z227)/($X228-$X227)*(Anal_Input_1-$X227),Z228)))))</f>
        <v>7.4</v>
      </c>
      <c r="H225" s="848">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848">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848">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848">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848">
        <f>AE228</f>
        <v>6</v>
      </c>
      <c r="M225" s="831">
        <v>7.4999999999999997E-2</v>
      </c>
      <c r="N225" s="831"/>
      <c r="O225" s="842">
        <v>2</v>
      </c>
      <c r="P225" s="831" t="s">
        <v>3161</v>
      </c>
      <c r="Q225" s="831"/>
      <c r="R225" s="832">
        <v>0.1</v>
      </c>
      <c r="S225" s="872">
        <v>301</v>
      </c>
      <c r="T225" s="831">
        <v>4.2</v>
      </c>
      <c r="U225" s="831">
        <v>630</v>
      </c>
      <c r="V225" s="831">
        <v>461</v>
      </c>
      <c r="W225" s="831">
        <v>61</v>
      </c>
      <c r="X225" s="180">
        <v>2</v>
      </c>
      <c r="Y225" s="197">
        <v>0</v>
      </c>
      <c r="Z225" s="197">
        <v>4.2</v>
      </c>
      <c r="AA225" s="197">
        <v>2.61</v>
      </c>
      <c r="AB225" s="197">
        <v>0.12</v>
      </c>
      <c r="AC225" s="197">
        <v>0.11</v>
      </c>
      <c r="AD225" s="197">
        <v>5.5E-2</v>
      </c>
      <c r="AE225" s="197">
        <v>2</v>
      </c>
    </row>
    <row r="226" spans="1:31">
      <c r="A226" s="840">
        <v>10112</v>
      </c>
      <c r="B226" s="841" t="s">
        <v>934</v>
      </c>
      <c r="C226" s="842">
        <v>364</v>
      </c>
      <c r="D226" s="842">
        <v>365</v>
      </c>
      <c r="E226" s="842">
        <v>366</v>
      </c>
      <c r="F226" s="848">
        <f t="shared" ref="F226:K226" si="1">IF(Anal_Input_1&lt;=$X218,Y218,IF(Anal_Input_1&lt;=$X219,Y218+(Y219-Y218)/($X219-$X218)*(Anal_Input_1-$X218),IF(Anal_Input_1&lt;=$X220,Y219+(Y220-Y219)/($X220-$X219)*(Anal_Input_1-$X219),IF(Anal_Input_1&lt;=$X221,Y220+(Y221-Y220)/($X221-$X220)*(Anal_Input_1-$X220),Y221))))</f>
        <v>0.99</v>
      </c>
      <c r="G226" s="848">
        <f t="shared" si="1"/>
        <v>0.79</v>
      </c>
      <c r="H226" s="848">
        <f t="shared" si="1"/>
        <v>0.32</v>
      </c>
      <c r="I226" s="848">
        <f t="shared" si="1"/>
        <v>1.06E-2</v>
      </c>
      <c r="J226" s="848">
        <f t="shared" si="1"/>
        <v>7.0000000000000001E-3</v>
      </c>
      <c r="K226" s="848">
        <f t="shared" si="1"/>
        <v>1.6000000000000001E-3</v>
      </c>
      <c r="L226" s="848">
        <f>AE221</f>
        <v>1</v>
      </c>
      <c r="M226" s="831">
        <v>2.9000000000000001E-2</v>
      </c>
      <c r="N226" s="831"/>
      <c r="O226" s="842">
        <v>2</v>
      </c>
      <c r="P226" s="831" t="s">
        <v>934</v>
      </c>
      <c r="Q226" s="831"/>
      <c r="R226" s="832">
        <v>3.95E-2</v>
      </c>
      <c r="S226" s="872">
        <v>302</v>
      </c>
      <c r="T226" s="831">
        <v>35.06</v>
      </c>
      <c r="U226" s="831">
        <v>22.42</v>
      </c>
      <c r="V226" s="831">
        <v>11.9</v>
      </c>
      <c r="W226" s="831">
        <v>0.3</v>
      </c>
      <c r="X226" s="180">
        <v>3</v>
      </c>
      <c r="Y226" s="197">
        <v>0</v>
      </c>
      <c r="Z226" s="197">
        <v>5.26</v>
      </c>
      <c r="AA226" s="197">
        <v>3</v>
      </c>
      <c r="AB226" s="197">
        <v>0.12</v>
      </c>
      <c r="AC226" s="197">
        <v>0.12</v>
      </c>
      <c r="AD226" s="197">
        <v>6.4000000000000001E-2</v>
      </c>
      <c r="AE226" s="197">
        <v>3</v>
      </c>
    </row>
    <row r="227" spans="1:31">
      <c r="A227" s="840">
        <v>10113</v>
      </c>
      <c r="B227" s="841" t="s">
        <v>2729</v>
      </c>
      <c r="C227" s="842">
        <v>207</v>
      </c>
      <c r="D227" s="842">
        <v>208</v>
      </c>
      <c r="E227" s="842">
        <v>209</v>
      </c>
      <c r="F227" s="848">
        <v>1333</v>
      </c>
      <c r="G227" s="848">
        <v>1333</v>
      </c>
      <c r="H227" s="848">
        <v>706</v>
      </c>
      <c r="I227" s="848">
        <v>141.1</v>
      </c>
      <c r="J227" s="848">
        <v>141.1</v>
      </c>
      <c r="K227" s="848">
        <v>78.400000000000006</v>
      </c>
      <c r="L227" s="848">
        <v>220</v>
      </c>
      <c r="M227" s="831">
        <v>0.23499999999999999</v>
      </c>
      <c r="N227" s="831"/>
      <c r="O227" s="842">
        <v>1</v>
      </c>
      <c r="P227" s="831" t="s">
        <v>2729</v>
      </c>
      <c r="Q227" s="831"/>
      <c r="R227" s="832"/>
      <c r="S227" s="872">
        <v>303</v>
      </c>
      <c r="T227" s="831">
        <v>56.1</v>
      </c>
      <c r="U227" s="831">
        <v>12.31</v>
      </c>
      <c r="V227" s="831">
        <v>6.7</v>
      </c>
      <c r="W227" s="831">
        <v>0.1</v>
      </c>
      <c r="X227" s="180">
        <v>4</v>
      </c>
      <c r="Y227" s="197">
        <v>0</v>
      </c>
      <c r="Z227" s="197">
        <v>6.02</v>
      </c>
      <c r="AA227" s="197">
        <v>3</v>
      </c>
      <c r="AB227" s="197">
        <v>0.12</v>
      </c>
      <c r="AC227" s="197">
        <v>0.12</v>
      </c>
      <c r="AD227" s="197">
        <v>7.8E-2</v>
      </c>
      <c r="AE227" s="197">
        <v>4</v>
      </c>
    </row>
    <row r="228" spans="1:31">
      <c r="A228" s="840">
        <v>10114</v>
      </c>
      <c r="B228" s="841" t="s">
        <v>3141</v>
      </c>
      <c r="C228" s="842">
        <v>207</v>
      </c>
      <c r="D228" s="842">
        <v>208</v>
      </c>
      <c r="E228" s="842">
        <v>209</v>
      </c>
      <c r="F228" s="848">
        <v>1333</v>
      </c>
      <c r="G228" s="848">
        <v>1333</v>
      </c>
      <c r="H228" s="848">
        <v>706</v>
      </c>
      <c r="I228" s="848">
        <v>141.1</v>
      </c>
      <c r="J228" s="848">
        <v>141.1</v>
      </c>
      <c r="K228" s="848">
        <v>78.400000000000006</v>
      </c>
      <c r="L228" s="848">
        <v>220</v>
      </c>
      <c r="M228" s="831">
        <v>0.25800000000000001</v>
      </c>
      <c r="N228" s="831"/>
      <c r="O228" s="842">
        <v>1</v>
      </c>
      <c r="P228" s="831" t="s">
        <v>2729</v>
      </c>
      <c r="Q228" s="831" t="s">
        <v>872</v>
      </c>
      <c r="R228" s="832"/>
      <c r="S228" s="872">
        <v>304</v>
      </c>
      <c r="T228" s="831">
        <v>25.06</v>
      </c>
      <c r="U228" s="831">
        <v>22.42</v>
      </c>
      <c r="V228" s="831">
        <v>11.9</v>
      </c>
      <c r="W228" s="831">
        <v>0.3</v>
      </c>
      <c r="X228" s="180">
        <v>6</v>
      </c>
      <c r="Y228" s="197">
        <v>0</v>
      </c>
      <c r="Z228" s="197">
        <v>7.4</v>
      </c>
      <c r="AA228" s="197">
        <v>3</v>
      </c>
      <c r="AB228" s="197">
        <v>0.12</v>
      </c>
      <c r="AC228" s="197">
        <v>0.12</v>
      </c>
      <c r="AD228" s="197">
        <v>9.8000000000000004E-2</v>
      </c>
      <c r="AE228" s="197">
        <v>6</v>
      </c>
    </row>
    <row r="229" spans="1:31">
      <c r="A229" s="840">
        <v>10115</v>
      </c>
      <c r="B229" s="841" t="s">
        <v>1049</v>
      </c>
      <c r="C229" s="842">
        <v>367</v>
      </c>
      <c r="D229" s="842">
        <v>368</v>
      </c>
      <c r="E229" s="842">
        <v>369</v>
      </c>
      <c r="F229" s="848">
        <v>690</v>
      </c>
      <c r="G229" s="848">
        <v>690</v>
      </c>
      <c r="H229" s="848">
        <v>260</v>
      </c>
      <c r="I229" s="848">
        <v>57</v>
      </c>
      <c r="J229" s="848">
        <v>57</v>
      </c>
      <c r="K229" s="848">
        <v>32</v>
      </c>
      <c r="L229" s="848">
        <v>100</v>
      </c>
      <c r="M229" s="831">
        <v>0.19</v>
      </c>
      <c r="N229" s="831"/>
      <c r="O229" s="842">
        <v>1</v>
      </c>
      <c r="P229" s="831" t="s">
        <v>1049</v>
      </c>
      <c r="Q229" s="831"/>
      <c r="R229" s="832"/>
      <c r="S229" s="872">
        <v>305</v>
      </c>
      <c r="T229" s="831">
        <v>21.1555</v>
      </c>
      <c r="U229" s="831">
        <v>35.327970000000001</v>
      </c>
      <c r="V229" s="831">
        <v>22</v>
      </c>
      <c r="W229" s="831">
        <v>0.63</v>
      </c>
    </row>
    <row r="230" spans="1:31">
      <c r="A230" s="840">
        <v>10116</v>
      </c>
      <c r="B230" s="841" t="s">
        <v>1050</v>
      </c>
      <c r="C230" s="842">
        <v>367</v>
      </c>
      <c r="D230" s="842">
        <v>368</v>
      </c>
      <c r="E230" s="842">
        <v>369</v>
      </c>
      <c r="F230" s="848">
        <v>690</v>
      </c>
      <c r="G230" s="848">
        <v>690</v>
      </c>
      <c r="H230" s="848">
        <v>260</v>
      </c>
      <c r="I230" s="848">
        <v>57</v>
      </c>
      <c r="J230" s="848">
        <v>57</v>
      </c>
      <c r="K230" s="848">
        <v>32</v>
      </c>
      <c r="L230" s="848">
        <v>100</v>
      </c>
      <c r="M230" s="831">
        <v>0.21299999999999999</v>
      </c>
      <c r="N230" s="831"/>
      <c r="O230" s="842">
        <v>1</v>
      </c>
      <c r="P230" s="831" t="s">
        <v>1049</v>
      </c>
      <c r="Q230" s="831" t="s">
        <v>872</v>
      </c>
      <c r="R230" s="832"/>
      <c r="S230" s="872">
        <v>306</v>
      </c>
      <c r="T230" s="831">
        <v>26.444379999999999</v>
      </c>
      <c r="U230" s="831">
        <v>13.76666</v>
      </c>
      <c r="V230" s="831">
        <v>9.8000000000000007</v>
      </c>
      <c r="W230" s="831">
        <v>0.15</v>
      </c>
    </row>
    <row r="231" spans="1:31">
      <c r="A231" s="840">
        <v>10117</v>
      </c>
      <c r="B231" s="841" t="s">
        <v>2601</v>
      </c>
      <c r="C231" s="842">
        <v>367</v>
      </c>
      <c r="D231" s="842">
        <v>368</v>
      </c>
      <c r="E231" s="842">
        <v>369</v>
      </c>
      <c r="F231" s="848">
        <v>690</v>
      </c>
      <c r="G231" s="848">
        <v>690</v>
      </c>
      <c r="H231" s="848">
        <v>260</v>
      </c>
      <c r="I231" s="848">
        <v>57</v>
      </c>
      <c r="J231" s="848">
        <v>57</v>
      </c>
      <c r="K231" s="848">
        <v>32</v>
      </c>
      <c r="L231" s="848">
        <v>100</v>
      </c>
      <c r="M231" s="831">
        <v>0.33500000000000002</v>
      </c>
      <c r="N231" s="831"/>
      <c r="O231" s="842">
        <v>1</v>
      </c>
      <c r="P231" s="831" t="s">
        <v>2601</v>
      </c>
      <c r="Q231" s="831"/>
      <c r="R231" s="832"/>
      <c r="S231" s="872">
        <v>307</v>
      </c>
      <c r="T231" s="831">
        <v>26.444379999999999</v>
      </c>
      <c r="U231" s="831">
        <v>32.359969999999997</v>
      </c>
      <c r="V231" s="831">
        <v>15.7</v>
      </c>
      <c r="W231" s="831">
        <v>0.63</v>
      </c>
    </row>
    <row r="232" spans="1:31">
      <c r="A232" s="840">
        <v>10118</v>
      </c>
      <c r="B232" s="841" t="s">
        <v>1188</v>
      </c>
      <c r="C232" s="842">
        <v>370</v>
      </c>
      <c r="D232" s="842">
        <v>370</v>
      </c>
      <c r="E232" s="842">
        <v>371</v>
      </c>
      <c r="F232" s="848">
        <v>22</v>
      </c>
      <c r="G232" s="848">
        <v>22</v>
      </c>
      <c r="H232" s="848">
        <v>9.8000000000000007</v>
      </c>
      <c r="I232" s="848">
        <v>0.63</v>
      </c>
      <c r="J232" s="848">
        <v>0.63</v>
      </c>
      <c r="K232" s="848">
        <v>0.15</v>
      </c>
      <c r="L232" s="848">
        <v>10</v>
      </c>
      <c r="M232" s="831">
        <v>0.1</v>
      </c>
      <c r="N232" s="831"/>
      <c r="O232" s="842">
        <v>2</v>
      </c>
      <c r="P232" s="831" t="s">
        <v>1188</v>
      </c>
      <c r="Q232" s="831"/>
      <c r="R232" s="832"/>
      <c r="S232" s="872">
        <v>308</v>
      </c>
      <c r="T232" s="831">
        <v>26.444379999999999</v>
      </c>
      <c r="U232" s="831">
        <v>20.148869999999999</v>
      </c>
      <c r="V232" s="831">
        <v>10.1</v>
      </c>
      <c r="W232" s="831">
        <v>0.38</v>
      </c>
    </row>
    <row r="233" spans="1:31">
      <c r="A233" s="840">
        <v>10119</v>
      </c>
      <c r="B233" s="841" t="s">
        <v>2725</v>
      </c>
      <c r="C233" s="842">
        <v>370</v>
      </c>
      <c r="D233" s="842">
        <v>370</v>
      </c>
      <c r="E233" s="842">
        <v>371</v>
      </c>
      <c r="F233" s="848">
        <v>22</v>
      </c>
      <c r="G233" s="848">
        <v>22</v>
      </c>
      <c r="H233" s="848">
        <v>9.8000000000000007</v>
      </c>
      <c r="I233" s="848">
        <v>0.63</v>
      </c>
      <c r="J233" s="848">
        <v>0.63</v>
      </c>
      <c r="K233" s="848">
        <v>0.15</v>
      </c>
      <c r="L233" s="848">
        <v>10</v>
      </c>
      <c r="M233" s="831">
        <v>0.1</v>
      </c>
      <c r="N233" s="831"/>
      <c r="O233" s="842">
        <v>2</v>
      </c>
      <c r="P233" s="831" t="s">
        <v>2725</v>
      </c>
      <c r="Q233" s="831"/>
      <c r="R233" s="832"/>
      <c r="S233" s="872">
        <v>309</v>
      </c>
      <c r="T233" s="831">
        <v>33.034619999999997</v>
      </c>
      <c r="U233" s="831">
        <v>7.9151119999999997</v>
      </c>
      <c r="V233" s="831">
        <v>5.9</v>
      </c>
      <c r="W233" s="831">
        <v>6.0999999999999999E-2</v>
      </c>
    </row>
    <row r="234" spans="1:31">
      <c r="A234" s="840">
        <v>10120</v>
      </c>
      <c r="B234" s="841" t="s">
        <v>2695</v>
      </c>
      <c r="C234" s="842">
        <v>305</v>
      </c>
      <c r="D234" s="842">
        <v>305</v>
      </c>
      <c r="E234" s="842">
        <v>306</v>
      </c>
      <c r="F234" s="848">
        <v>22</v>
      </c>
      <c r="G234" s="848">
        <v>22</v>
      </c>
      <c r="H234" s="848">
        <v>9.8000000000000007</v>
      </c>
      <c r="I234" s="848">
        <v>0.63</v>
      </c>
      <c r="J234" s="848">
        <v>0.63</v>
      </c>
      <c r="K234" s="848">
        <v>0.15</v>
      </c>
      <c r="L234" s="848">
        <v>10</v>
      </c>
      <c r="M234" s="831">
        <v>0.1</v>
      </c>
      <c r="N234" s="831"/>
      <c r="O234" s="842">
        <v>2</v>
      </c>
      <c r="P234" s="831" t="s">
        <v>2695</v>
      </c>
      <c r="Q234" s="831"/>
      <c r="R234" s="832"/>
      <c r="S234" s="872">
        <v>310</v>
      </c>
      <c r="T234" s="831">
        <v>6.9813169999999998</v>
      </c>
      <c r="U234" s="831">
        <v>489.4769</v>
      </c>
      <c r="V234" s="831">
        <v>294</v>
      </c>
      <c r="W234" s="831">
        <v>28</v>
      </c>
    </row>
    <row r="235" spans="1:31">
      <c r="A235" s="840">
        <v>10121</v>
      </c>
      <c r="B235" s="841" t="s">
        <v>1445</v>
      </c>
      <c r="C235" s="842">
        <v>305</v>
      </c>
      <c r="D235" s="842">
        <v>305</v>
      </c>
      <c r="E235" s="842">
        <v>306</v>
      </c>
      <c r="F235" s="848">
        <v>22</v>
      </c>
      <c r="G235" s="848">
        <v>22</v>
      </c>
      <c r="H235" s="848">
        <v>9.8000000000000007</v>
      </c>
      <c r="I235" s="848">
        <v>0.63</v>
      </c>
      <c r="J235" s="848">
        <v>0.63</v>
      </c>
      <c r="K235" s="848">
        <v>0.15</v>
      </c>
      <c r="L235" s="848">
        <v>10</v>
      </c>
      <c r="M235" s="831">
        <v>0.1</v>
      </c>
      <c r="N235" s="831"/>
      <c r="O235" s="842">
        <v>2</v>
      </c>
      <c r="P235" s="831" t="s">
        <v>1445</v>
      </c>
      <c r="Q235" s="831"/>
      <c r="R235" s="832"/>
      <c r="S235" s="872">
        <v>311</v>
      </c>
      <c r="T235" s="831">
        <v>6.4442919999999999</v>
      </c>
      <c r="U235" s="831">
        <v>474.4402</v>
      </c>
      <c r="V235" s="831">
        <v>294</v>
      </c>
      <c r="W235" s="831">
        <v>28</v>
      </c>
    </row>
    <row r="236" spans="1:31">
      <c r="A236" s="840">
        <v>10122</v>
      </c>
      <c r="B236" s="841" t="s">
        <v>577</v>
      </c>
      <c r="C236" s="842">
        <v>307</v>
      </c>
      <c r="D236" s="842">
        <v>308</v>
      </c>
      <c r="E236" s="842">
        <v>309</v>
      </c>
      <c r="F236" s="848">
        <v>15.7</v>
      </c>
      <c r="G236" s="848">
        <v>10.1</v>
      </c>
      <c r="H236" s="848">
        <v>5.9</v>
      </c>
      <c r="I236" s="848">
        <v>0.63</v>
      </c>
      <c r="J236" s="848">
        <v>0.38</v>
      </c>
      <c r="K236" s="848">
        <v>6.0999999999999999E-2</v>
      </c>
      <c r="L236" s="848">
        <v>6</v>
      </c>
      <c r="M236" s="831">
        <v>0.1</v>
      </c>
      <c r="N236" s="831"/>
      <c r="O236" s="842">
        <v>2</v>
      </c>
      <c r="P236" s="831" t="s">
        <v>577</v>
      </c>
      <c r="Q236" s="831"/>
      <c r="R236" s="832"/>
      <c r="S236" s="872">
        <v>312</v>
      </c>
      <c r="T236" s="831">
        <v>14.8353</v>
      </c>
      <c r="U236" s="831">
        <v>290.5883</v>
      </c>
      <c r="V236" s="831">
        <v>127.4</v>
      </c>
      <c r="W236" s="831">
        <v>11</v>
      </c>
    </row>
    <row r="237" spans="1:31">
      <c r="A237" s="840">
        <v>10123</v>
      </c>
      <c r="B237" s="841" t="s">
        <v>1997</v>
      </c>
      <c r="C237" s="842">
        <v>307</v>
      </c>
      <c r="D237" s="842">
        <v>308</v>
      </c>
      <c r="E237" s="842">
        <v>309</v>
      </c>
      <c r="F237" s="848">
        <v>15.7</v>
      </c>
      <c r="G237" s="848">
        <v>10.1</v>
      </c>
      <c r="H237" s="848">
        <v>5.9</v>
      </c>
      <c r="I237" s="848">
        <v>0.63</v>
      </c>
      <c r="J237" s="848">
        <v>0.38</v>
      </c>
      <c r="K237" s="848">
        <v>6.0999999999999999E-2</v>
      </c>
      <c r="L237" s="848">
        <v>6</v>
      </c>
      <c r="M237" s="831">
        <v>0.1</v>
      </c>
      <c r="N237" s="831"/>
      <c r="O237" s="842">
        <v>2</v>
      </c>
      <c r="P237" s="831" t="s">
        <v>1997</v>
      </c>
      <c r="Q237" s="831"/>
      <c r="R237" s="832"/>
      <c r="S237" s="872">
        <v>313</v>
      </c>
      <c r="T237" s="831">
        <v>3</v>
      </c>
      <c r="U237" s="831">
        <v>3.6</v>
      </c>
      <c r="V237" s="831">
        <v>3.5</v>
      </c>
      <c r="W237" s="831">
        <v>3.2000000000000001E-2</v>
      </c>
    </row>
    <row r="238" spans="1:31">
      <c r="A238" s="840">
        <v>10124</v>
      </c>
      <c r="B238" s="841" t="s">
        <v>677</v>
      </c>
      <c r="C238" s="842">
        <v>207</v>
      </c>
      <c r="D238" s="842">
        <v>208</v>
      </c>
      <c r="E238" s="842">
        <v>209</v>
      </c>
      <c r="F238" s="848">
        <v>1333</v>
      </c>
      <c r="G238" s="848">
        <v>1333</v>
      </c>
      <c r="H238" s="848">
        <v>706</v>
      </c>
      <c r="I238" s="848">
        <v>141.1</v>
      </c>
      <c r="J238" s="848">
        <v>141.1</v>
      </c>
      <c r="K238" s="848">
        <v>78.400000000000006</v>
      </c>
      <c r="L238" s="848">
        <v>210</v>
      </c>
      <c r="M238" s="831">
        <v>0.23499999999999999</v>
      </c>
      <c r="N238" s="831"/>
      <c r="O238" s="842">
        <v>1</v>
      </c>
      <c r="P238" s="831" t="s">
        <v>677</v>
      </c>
      <c r="Q238" s="831"/>
      <c r="R238" s="832"/>
      <c r="S238" s="872">
        <v>314</v>
      </c>
      <c r="T238" s="831">
        <v>3</v>
      </c>
      <c r="U238" s="831">
        <v>1.6</v>
      </c>
      <c r="V238" s="831">
        <v>1.5</v>
      </c>
      <c r="W238" s="831">
        <v>6.4999999999999997E-3</v>
      </c>
    </row>
    <row r="239" spans="1:31">
      <c r="A239" s="840">
        <v>10125</v>
      </c>
      <c r="B239" s="841" t="s">
        <v>47</v>
      </c>
      <c r="C239" s="842">
        <v>372</v>
      </c>
      <c r="D239" s="842">
        <v>373</v>
      </c>
      <c r="E239" s="842">
        <v>374</v>
      </c>
      <c r="F239" s="848">
        <v>1333</v>
      </c>
      <c r="G239" s="848">
        <v>1333</v>
      </c>
      <c r="H239" s="848">
        <v>706</v>
      </c>
      <c r="I239" s="848">
        <v>141.1</v>
      </c>
      <c r="J239" s="848">
        <v>141.1</v>
      </c>
      <c r="K239" s="848">
        <v>78.400000000000006</v>
      </c>
      <c r="L239" s="848">
        <v>210</v>
      </c>
      <c r="M239" s="831">
        <v>0.23499999999999999</v>
      </c>
      <c r="N239" s="831"/>
      <c r="O239" s="842">
        <v>1</v>
      </c>
      <c r="P239" s="831" t="s">
        <v>47</v>
      </c>
      <c r="Q239" s="831"/>
      <c r="R239" s="832"/>
      <c r="S239" s="872">
        <v>315</v>
      </c>
      <c r="T239" s="831">
        <v>19</v>
      </c>
      <c r="U239" s="831">
        <v>0.1</v>
      </c>
      <c r="V239" s="831">
        <v>0</v>
      </c>
      <c r="W239" s="831">
        <v>5.0000000000000001E-3</v>
      </c>
    </row>
    <row r="240" spans="1:31">
      <c r="A240" s="840">
        <v>10126</v>
      </c>
      <c r="B240" s="841" t="s">
        <v>2653</v>
      </c>
      <c r="C240" s="842">
        <v>372</v>
      </c>
      <c r="D240" s="842">
        <v>373</v>
      </c>
      <c r="E240" s="842">
        <v>374</v>
      </c>
      <c r="F240" s="848">
        <v>1333</v>
      </c>
      <c r="G240" s="848">
        <v>1333</v>
      </c>
      <c r="H240" s="848">
        <v>706</v>
      </c>
      <c r="I240" s="848">
        <v>141.1</v>
      </c>
      <c r="J240" s="848">
        <v>141.1</v>
      </c>
      <c r="K240" s="848">
        <v>78.400000000000006</v>
      </c>
      <c r="L240" s="848">
        <v>210</v>
      </c>
      <c r="M240" s="831">
        <v>0.25800000000000001</v>
      </c>
      <c r="N240" s="831"/>
      <c r="O240" s="842">
        <v>1</v>
      </c>
      <c r="P240" s="831" t="s">
        <v>47</v>
      </c>
      <c r="Q240" s="831" t="s">
        <v>872</v>
      </c>
      <c r="R240" s="832"/>
      <c r="S240" s="872">
        <v>316</v>
      </c>
      <c r="T240" s="831">
        <v>2.9670000000000001</v>
      </c>
      <c r="U240" s="831">
        <v>3480</v>
      </c>
      <c r="V240" s="831">
        <v>2200</v>
      </c>
      <c r="W240" s="831">
        <v>431.2</v>
      </c>
    </row>
    <row r="241" spans="1:23">
      <c r="A241" s="840">
        <v>10127</v>
      </c>
      <c r="B241" s="841" t="s">
        <v>1870</v>
      </c>
      <c r="C241" s="842">
        <v>372</v>
      </c>
      <c r="D241" s="842">
        <v>373</v>
      </c>
      <c r="E241" s="842">
        <v>374</v>
      </c>
      <c r="F241" s="848">
        <v>1333</v>
      </c>
      <c r="G241" s="848">
        <v>1333</v>
      </c>
      <c r="H241" s="848">
        <v>706</v>
      </c>
      <c r="I241" s="848">
        <v>141.1</v>
      </c>
      <c r="J241" s="848">
        <v>141.1</v>
      </c>
      <c r="K241" s="848">
        <v>78.400000000000006</v>
      </c>
      <c r="L241" s="848">
        <v>220</v>
      </c>
      <c r="M241" s="831">
        <v>0.23499999999999999</v>
      </c>
      <c r="N241" s="831"/>
      <c r="O241" s="842">
        <v>1</v>
      </c>
      <c r="P241" s="831" t="s">
        <v>1870</v>
      </c>
      <c r="Q241" s="831"/>
      <c r="R241" s="832"/>
      <c r="S241" s="872">
        <v>317</v>
      </c>
      <c r="T241" s="831">
        <v>2.9670000000000001</v>
      </c>
      <c r="U241" s="831">
        <v>3480</v>
      </c>
      <c r="V241" s="831">
        <v>2200</v>
      </c>
      <c r="W241" s="831">
        <v>431.2</v>
      </c>
    </row>
    <row r="242" spans="1:23">
      <c r="A242" s="840">
        <v>10128</v>
      </c>
      <c r="B242" s="841" t="s">
        <v>1871</v>
      </c>
      <c r="C242" s="842">
        <v>372</v>
      </c>
      <c r="D242" s="842">
        <v>373</v>
      </c>
      <c r="E242" s="842">
        <v>374</v>
      </c>
      <c r="F242" s="848">
        <v>1333</v>
      </c>
      <c r="G242" s="848">
        <v>1333</v>
      </c>
      <c r="H242" s="848">
        <v>706</v>
      </c>
      <c r="I242" s="848">
        <v>141.1</v>
      </c>
      <c r="J242" s="848">
        <v>141.1</v>
      </c>
      <c r="K242" s="848">
        <v>78.400000000000006</v>
      </c>
      <c r="L242" s="848">
        <v>220</v>
      </c>
      <c r="M242" s="831">
        <v>0.25800000000000001</v>
      </c>
      <c r="N242" s="831"/>
      <c r="O242" s="842">
        <v>1</v>
      </c>
      <c r="P242" s="831" t="s">
        <v>1870</v>
      </c>
      <c r="Q242" s="831" t="s">
        <v>872</v>
      </c>
      <c r="R242" s="832"/>
      <c r="S242" s="872">
        <v>318</v>
      </c>
      <c r="T242" s="831">
        <v>6.8570000000000002</v>
      </c>
      <c r="U242" s="831">
        <v>3403</v>
      </c>
      <c r="V242" s="831">
        <v>715</v>
      </c>
      <c r="W242" s="831">
        <v>392</v>
      </c>
    </row>
    <row r="243" spans="1:23">
      <c r="A243" s="840">
        <v>10129</v>
      </c>
      <c r="B243" s="841" t="s">
        <v>3590</v>
      </c>
      <c r="C243" s="842">
        <v>264</v>
      </c>
      <c r="D243" s="842">
        <v>265</v>
      </c>
      <c r="E243" s="842">
        <v>212</v>
      </c>
      <c r="F243" s="848">
        <v>1333</v>
      </c>
      <c r="G243" s="848">
        <v>1333</v>
      </c>
      <c r="H243" s="848">
        <v>706</v>
      </c>
      <c r="I243" s="848">
        <v>225.4</v>
      </c>
      <c r="J243" s="848">
        <v>225.4</v>
      </c>
      <c r="K243" s="848">
        <v>196</v>
      </c>
      <c r="L243" s="848">
        <v>210</v>
      </c>
      <c r="M243" s="831">
        <v>0.23499999999999999</v>
      </c>
      <c r="N243" s="831"/>
      <c r="O243" s="842">
        <v>1</v>
      </c>
      <c r="P243" s="831" t="s">
        <v>3590</v>
      </c>
      <c r="Q243" s="831"/>
      <c r="R243" s="832"/>
      <c r="S243" s="872">
        <v>319</v>
      </c>
      <c r="T243" s="831">
        <v>15.552429999999999</v>
      </c>
      <c r="U243" s="831">
        <v>60.17454</v>
      </c>
      <c r="V243" s="831">
        <v>44</v>
      </c>
      <c r="W243" s="831">
        <v>1.04</v>
      </c>
    </row>
    <row r="244" spans="1:23">
      <c r="A244" s="840">
        <v>10130</v>
      </c>
      <c r="B244" s="841" t="s">
        <v>3216</v>
      </c>
      <c r="C244" s="842">
        <v>375</v>
      </c>
      <c r="D244" s="842">
        <v>376</v>
      </c>
      <c r="E244" s="842" t="s">
        <v>32</v>
      </c>
      <c r="F244" s="848">
        <v>150</v>
      </c>
      <c r="G244" s="848">
        <v>68</v>
      </c>
      <c r="H244" s="848" t="s">
        <v>32</v>
      </c>
      <c r="I244" s="848">
        <v>6.3</v>
      </c>
      <c r="J244" s="848">
        <v>2.5</v>
      </c>
      <c r="K244" s="848" t="s">
        <v>32</v>
      </c>
      <c r="L244" s="848">
        <v>50</v>
      </c>
      <c r="M244" s="831">
        <v>0.17499999999999999</v>
      </c>
      <c r="N244" s="831"/>
      <c r="O244" s="842">
        <v>3</v>
      </c>
      <c r="P244" s="831" t="s">
        <v>3216</v>
      </c>
      <c r="Q244" s="831"/>
      <c r="R244" s="832"/>
      <c r="S244" s="872">
        <v>320</v>
      </c>
      <c r="T244" s="831">
        <v>23.760670000000001</v>
      </c>
      <c r="U244" s="831">
        <v>28.652989999999999</v>
      </c>
      <c r="V244" s="831">
        <v>22</v>
      </c>
      <c r="W244" s="831">
        <v>0.28000000000000003</v>
      </c>
    </row>
    <row r="245" spans="1:23">
      <c r="A245" s="840">
        <v>10131</v>
      </c>
      <c r="B245" s="841" t="s">
        <v>671</v>
      </c>
      <c r="C245" s="842">
        <v>377</v>
      </c>
      <c r="D245" s="842">
        <v>378</v>
      </c>
      <c r="E245" s="842">
        <v>255</v>
      </c>
      <c r="F245" s="848">
        <v>3400</v>
      </c>
      <c r="G245" s="848">
        <v>3400</v>
      </c>
      <c r="H245" s="848">
        <v>1725</v>
      </c>
      <c r="I245" s="848">
        <v>1098</v>
      </c>
      <c r="J245" s="848">
        <v>1098</v>
      </c>
      <c r="K245" s="848">
        <v>444</v>
      </c>
      <c r="L245" s="848">
        <v>700</v>
      </c>
      <c r="M245" s="831">
        <v>0.3</v>
      </c>
      <c r="N245" s="831"/>
      <c r="O245" s="842">
        <v>6</v>
      </c>
      <c r="P245" s="831" t="s">
        <v>671</v>
      </c>
      <c r="Q245" s="831"/>
      <c r="R245" s="832"/>
      <c r="S245" s="872">
        <v>321</v>
      </c>
      <c r="T245" s="831">
        <v>2.5972149999999998</v>
      </c>
      <c r="U245" s="831">
        <v>4068.58</v>
      </c>
      <c r="V245" s="831">
        <v>2744</v>
      </c>
      <c r="W245" s="831">
        <v>1566.5160000000001</v>
      </c>
    </row>
    <row r="246" spans="1:23">
      <c r="A246" s="840">
        <v>10132</v>
      </c>
      <c r="B246" s="841" t="s">
        <v>3029</v>
      </c>
      <c r="C246" s="842">
        <v>377</v>
      </c>
      <c r="D246" s="842">
        <v>378</v>
      </c>
      <c r="E246" s="842">
        <v>255</v>
      </c>
      <c r="F246" s="848">
        <v>3400</v>
      </c>
      <c r="G246" s="848">
        <v>3400</v>
      </c>
      <c r="H246" s="848">
        <v>1725</v>
      </c>
      <c r="I246" s="848">
        <v>1098</v>
      </c>
      <c r="J246" s="848">
        <v>1098</v>
      </c>
      <c r="K246" s="848">
        <v>444</v>
      </c>
      <c r="L246" s="848">
        <v>700</v>
      </c>
      <c r="M246" s="831">
        <v>0.32500000000000001</v>
      </c>
      <c r="N246" s="831"/>
      <c r="O246" s="842">
        <v>6</v>
      </c>
      <c r="P246" s="831" t="s">
        <v>671</v>
      </c>
      <c r="Q246" s="831" t="s">
        <v>872</v>
      </c>
      <c r="R246" s="832"/>
      <c r="S246" s="872">
        <v>322</v>
      </c>
      <c r="T246" s="831">
        <v>3.2930739999999998</v>
      </c>
      <c r="U246" s="831">
        <v>2778.7840000000001</v>
      </c>
      <c r="V246" s="831">
        <v>1725</v>
      </c>
      <c r="W246" s="831">
        <v>666.10429999999997</v>
      </c>
    </row>
    <row r="247" spans="1:23">
      <c r="A247" s="840">
        <v>10133</v>
      </c>
      <c r="B247" s="841" t="s">
        <v>1158</v>
      </c>
      <c r="C247" s="842">
        <v>379</v>
      </c>
      <c r="D247" s="842">
        <v>379</v>
      </c>
      <c r="E247" s="842">
        <v>380</v>
      </c>
      <c r="F247" s="848">
        <v>8.9</v>
      </c>
      <c r="G247" s="848">
        <v>8.9</v>
      </c>
      <c r="H247" s="848">
        <v>3</v>
      </c>
      <c r="I247" s="848">
        <v>0.28000000000000003</v>
      </c>
      <c r="J247" s="848">
        <v>0.28000000000000003</v>
      </c>
      <c r="K247" s="848">
        <v>3.5000000000000003E-2</v>
      </c>
      <c r="L247" s="848">
        <v>3</v>
      </c>
      <c r="M247" s="831">
        <v>0.1</v>
      </c>
      <c r="N247" s="831"/>
      <c r="O247" s="842">
        <v>4</v>
      </c>
      <c r="P247" s="831" t="s">
        <v>1158</v>
      </c>
      <c r="Q247" s="831"/>
      <c r="R247" s="832"/>
      <c r="S247" s="872">
        <v>323</v>
      </c>
      <c r="T247" s="831">
        <v>8.0284999999999993</v>
      </c>
      <c r="U247" s="831">
        <v>620.86</v>
      </c>
      <c r="V247" s="831">
        <v>380</v>
      </c>
      <c r="W247" s="831">
        <v>35.17</v>
      </c>
    </row>
    <row r="248" spans="1:23">
      <c r="A248" s="840">
        <v>10134</v>
      </c>
      <c r="B248" s="841" t="s">
        <v>1672</v>
      </c>
      <c r="C248" s="842">
        <v>379</v>
      </c>
      <c r="D248" s="842">
        <v>379</v>
      </c>
      <c r="E248" s="842">
        <v>380</v>
      </c>
      <c r="F248" s="848">
        <v>8.9</v>
      </c>
      <c r="G248" s="848">
        <v>8.9</v>
      </c>
      <c r="H248" s="848">
        <v>3</v>
      </c>
      <c r="I248" s="848">
        <v>0.28000000000000003</v>
      </c>
      <c r="J248" s="848">
        <v>0.28000000000000003</v>
      </c>
      <c r="K248" s="848">
        <v>3.5000000000000003E-2</v>
      </c>
      <c r="L248" s="848">
        <v>3</v>
      </c>
      <c r="M248" s="831">
        <v>0.1</v>
      </c>
      <c r="N248" s="831"/>
      <c r="O248" s="842">
        <v>4</v>
      </c>
      <c r="P248" s="831" t="s">
        <v>1672</v>
      </c>
      <c r="Q248" s="831"/>
      <c r="R248" s="832"/>
      <c r="S248" s="872">
        <v>324</v>
      </c>
      <c r="T248" s="831">
        <v>8.0284999999999993</v>
      </c>
      <c r="U248" s="831">
        <v>620.86</v>
      </c>
      <c r="V248" s="831">
        <v>380</v>
      </c>
      <c r="W248" s="831">
        <v>57.47</v>
      </c>
    </row>
    <row r="249" spans="1:23">
      <c r="A249" s="840">
        <v>10135</v>
      </c>
      <c r="B249" s="841" t="s">
        <v>932</v>
      </c>
      <c r="C249" s="842">
        <v>381</v>
      </c>
      <c r="D249" s="842">
        <v>382</v>
      </c>
      <c r="E249" s="842">
        <v>383</v>
      </c>
      <c r="F249" s="848">
        <v>45.1</v>
      </c>
      <c r="G249" s="848">
        <v>45.1</v>
      </c>
      <c r="H249" s="848">
        <v>30</v>
      </c>
      <c r="I249" s="848">
        <v>2.0099999999999998</v>
      </c>
      <c r="J249" s="848">
        <v>2.0099999999999998</v>
      </c>
      <c r="K249" s="848">
        <v>1.01</v>
      </c>
      <c r="L249" s="848">
        <v>20</v>
      </c>
      <c r="M249" s="831">
        <v>0.1</v>
      </c>
      <c r="N249" s="831"/>
      <c r="O249" s="842">
        <v>4</v>
      </c>
      <c r="P249" s="831" t="s">
        <v>1137</v>
      </c>
      <c r="Q249" s="831"/>
      <c r="R249" s="832"/>
      <c r="S249" s="872">
        <v>325</v>
      </c>
      <c r="T249" s="831">
        <v>12.2173</v>
      </c>
      <c r="U249" s="831">
        <v>444.35</v>
      </c>
      <c r="V249" s="831">
        <v>200</v>
      </c>
      <c r="W249" s="831">
        <v>36.33</v>
      </c>
    </row>
    <row r="250" spans="1:23">
      <c r="A250" s="840">
        <v>10136</v>
      </c>
      <c r="B250" s="841" t="s">
        <v>2935</v>
      </c>
      <c r="C250" s="842">
        <v>384</v>
      </c>
      <c r="D250" s="842">
        <v>385</v>
      </c>
      <c r="E250" s="842">
        <v>386</v>
      </c>
      <c r="F250" s="848">
        <v>16.600000000000001</v>
      </c>
      <c r="G250" s="848">
        <v>16.600000000000001</v>
      </c>
      <c r="H250" s="848">
        <v>9.4</v>
      </c>
      <c r="I250" s="848">
        <v>0.47</v>
      </c>
      <c r="J250" s="848">
        <v>0.47</v>
      </c>
      <c r="K250" s="848">
        <v>0.15</v>
      </c>
      <c r="L250" s="848">
        <v>7</v>
      </c>
      <c r="M250" s="831">
        <v>0.08</v>
      </c>
      <c r="N250" s="831"/>
      <c r="O250" s="842">
        <v>1</v>
      </c>
      <c r="P250" s="831" t="s">
        <v>2935</v>
      </c>
      <c r="Q250" s="831"/>
      <c r="R250" s="832"/>
      <c r="S250" s="872">
        <v>326</v>
      </c>
      <c r="T250" s="831">
        <v>4.1879999999999997</v>
      </c>
      <c r="U250" s="831">
        <v>2169.15</v>
      </c>
      <c r="V250" s="831">
        <v>1225</v>
      </c>
      <c r="W250" s="831">
        <v>311</v>
      </c>
    </row>
    <row r="251" spans="1:23">
      <c r="A251" s="840">
        <v>10137</v>
      </c>
      <c r="B251" s="841" t="s">
        <v>2492</v>
      </c>
      <c r="C251" s="842">
        <v>387</v>
      </c>
      <c r="D251" s="842">
        <v>388</v>
      </c>
      <c r="E251" s="842">
        <v>389</v>
      </c>
      <c r="F251" s="848">
        <v>8.86</v>
      </c>
      <c r="G251" s="848">
        <v>8.86</v>
      </c>
      <c r="H251" s="848">
        <v>4.9000000000000004</v>
      </c>
      <c r="I251" s="848">
        <v>0.2</v>
      </c>
      <c r="J251" s="848">
        <v>0.2</v>
      </c>
      <c r="K251" s="848">
        <v>6.7000000000000004E-2</v>
      </c>
      <c r="L251" s="848">
        <v>4</v>
      </c>
      <c r="M251" s="831">
        <v>7.0000000000000007E-2</v>
      </c>
      <c r="N251" s="831"/>
      <c r="O251" s="842">
        <v>3</v>
      </c>
      <c r="P251" s="831" t="s">
        <v>2492</v>
      </c>
      <c r="Q251" s="831"/>
      <c r="R251" s="832"/>
      <c r="S251" s="872">
        <v>327</v>
      </c>
      <c r="T251" s="831">
        <v>3.49</v>
      </c>
      <c r="U251" s="831">
        <v>2011.79</v>
      </c>
      <c r="V251" s="831">
        <v>1225</v>
      </c>
      <c r="W251" s="831">
        <v>318</v>
      </c>
    </row>
    <row r="252" spans="1:23">
      <c r="A252" s="840">
        <v>10138</v>
      </c>
      <c r="B252" s="841" t="s">
        <v>2160</v>
      </c>
      <c r="C252" s="842">
        <v>384</v>
      </c>
      <c r="D252" s="842">
        <v>385</v>
      </c>
      <c r="E252" s="842">
        <v>386</v>
      </c>
      <c r="F252" s="848">
        <v>16.600000000000001</v>
      </c>
      <c r="G252" s="848">
        <v>16.600000000000001</v>
      </c>
      <c r="H252" s="848">
        <v>9.4</v>
      </c>
      <c r="I252" s="848">
        <v>0.47</v>
      </c>
      <c r="J252" s="848">
        <v>0.47</v>
      </c>
      <c r="K252" s="848">
        <v>0.15</v>
      </c>
      <c r="L252" s="848">
        <v>7</v>
      </c>
      <c r="M252" s="831">
        <v>0.08</v>
      </c>
      <c r="N252" s="831"/>
      <c r="O252" s="842">
        <v>1</v>
      </c>
      <c r="P252" s="831" t="s">
        <v>2160</v>
      </c>
      <c r="Q252" s="831"/>
      <c r="R252" s="832"/>
      <c r="S252" s="872">
        <v>328</v>
      </c>
      <c r="T252" s="831">
        <v>2.76</v>
      </c>
      <c r="U252" s="831">
        <v>1247</v>
      </c>
      <c r="V252" s="831">
        <v>706</v>
      </c>
      <c r="W252" s="831">
        <v>196</v>
      </c>
    </row>
    <row r="253" spans="1:23">
      <c r="A253" s="840">
        <v>10139</v>
      </c>
      <c r="B253" s="841" t="s">
        <v>117</v>
      </c>
      <c r="C253" s="842">
        <v>390</v>
      </c>
      <c r="D253" s="842">
        <v>390</v>
      </c>
      <c r="E253" s="842">
        <v>391</v>
      </c>
      <c r="F253" s="848">
        <v>26</v>
      </c>
      <c r="G253" s="848">
        <v>26</v>
      </c>
      <c r="H253" s="848">
        <v>11</v>
      </c>
      <c r="I253" s="848">
        <v>0.9</v>
      </c>
      <c r="J253" s="848">
        <v>0.9</v>
      </c>
      <c r="K253" s="848">
        <v>0.3</v>
      </c>
      <c r="L253" s="848">
        <v>10</v>
      </c>
      <c r="M253" s="831">
        <v>0.1</v>
      </c>
      <c r="N253" s="831"/>
      <c r="O253" s="842">
        <v>4</v>
      </c>
      <c r="P253" s="831" t="s">
        <v>118</v>
      </c>
      <c r="Q253" s="831"/>
      <c r="R253" s="832"/>
      <c r="S253" s="872">
        <v>329</v>
      </c>
      <c r="T253" s="831">
        <v>4.1879999999999997</v>
      </c>
      <c r="U253" s="831">
        <v>2326</v>
      </c>
      <c r="V253" s="831">
        <v>1382</v>
      </c>
      <c r="W253" s="831">
        <v>318</v>
      </c>
    </row>
    <row r="254" spans="1:23">
      <c r="A254" s="840">
        <v>10140</v>
      </c>
      <c r="B254" s="841" t="s">
        <v>3805</v>
      </c>
      <c r="C254" s="842">
        <v>390</v>
      </c>
      <c r="D254" s="842">
        <v>390</v>
      </c>
      <c r="E254" s="842">
        <v>391</v>
      </c>
      <c r="F254" s="848">
        <v>26</v>
      </c>
      <c r="G254" s="848">
        <v>26</v>
      </c>
      <c r="H254" s="848">
        <v>11</v>
      </c>
      <c r="I254" s="848">
        <v>0.9</v>
      </c>
      <c r="J254" s="848">
        <v>0.9</v>
      </c>
      <c r="K254" s="848">
        <v>0.3</v>
      </c>
      <c r="L254" s="848">
        <v>10</v>
      </c>
      <c r="M254" s="831">
        <v>0.1</v>
      </c>
      <c r="N254" s="831"/>
      <c r="O254" s="842">
        <v>4</v>
      </c>
      <c r="P254" s="831" t="s">
        <v>3805</v>
      </c>
      <c r="Q254" s="831"/>
      <c r="R254" s="832"/>
      <c r="S254" s="872">
        <v>330</v>
      </c>
      <c r="T254" s="831">
        <v>3.49</v>
      </c>
      <c r="U254" s="831">
        <v>2169</v>
      </c>
      <c r="V254" s="831">
        <v>1382</v>
      </c>
      <c r="W254" s="831">
        <v>337</v>
      </c>
    </row>
    <row r="255" spans="1:23">
      <c r="A255" s="840">
        <v>10141</v>
      </c>
      <c r="B255" s="841" t="s">
        <v>3337</v>
      </c>
      <c r="C255" s="842">
        <v>392</v>
      </c>
      <c r="D255" s="842">
        <v>393</v>
      </c>
      <c r="E255" s="842">
        <v>394</v>
      </c>
      <c r="F255" s="848">
        <v>1360</v>
      </c>
      <c r="G255" s="848">
        <v>1360</v>
      </c>
      <c r="H255" s="848">
        <v>735</v>
      </c>
      <c r="I255" s="848">
        <v>147</v>
      </c>
      <c r="J255" s="848">
        <v>147</v>
      </c>
      <c r="K255" s="848">
        <v>82</v>
      </c>
      <c r="L255" s="848">
        <v>210</v>
      </c>
      <c r="M255" s="831">
        <v>0.215</v>
      </c>
      <c r="N255" s="831"/>
      <c r="O255" s="842">
        <v>1</v>
      </c>
      <c r="P255" s="831" t="s">
        <v>3337</v>
      </c>
      <c r="Q255" s="831"/>
      <c r="R255" s="832"/>
      <c r="S255" s="872">
        <v>331</v>
      </c>
      <c r="T255" s="831">
        <v>2.76</v>
      </c>
      <c r="U255" s="831">
        <v>1257</v>
      </c>
      <c r="V255" s="831">
        <v>715</v>
      </c>
      <c r="W255" s="831">
        <v>196</v>
      </c>
    </row>
    <row r="256" spans="1:23">
      <c r="A256" s="840">
        <v>10142</v>
      </c>
      <c r="B256" s="841" t="s">
        <v>3338</v>
      </c>
      <c r="C256" s="842">
        <v>392</v>
      </c>
      <c r="D256" s="842">
        <v>393</v>
      </c>
      <c r="E256" s="842">
        <v>394</v>
      </c>
      <c r="F256" s="848">
        <v>1360</v>
      </c>
      <c r="G256" s="848">
        <v>1360</v>
      </c>
      <c r="H256" s="848">
        <v>735</v>
      </c>
      <c r="I256" s="848">
        <v>147</v>
      </c>
      <c r="J256" s="848">
        <v>147</v>
      </c>
      <c r="K256" s="848">
        <v>82</v>
      </c>
      <c r="L256" s="848">
        <v>210</v>
      </c>
      <c r="M256" s="831">
        <v>0.23799999999999999</v>
      </c>
      <c r="N256" s="831"/>
      <c r="O256" s="842">
        <v>1</v>
      </c>
      <c r="P256" s="831" t="s">
        <v>3337</v>
      </c>
      <c r="Q256" s="831" t="s">
        <v>872</v>
      </c>
      <c r="R256" s="832"/>
      <c r="S256" s="872">
        <v>332</v>
      </c>
      <c r="T256" s="831">
        <v>0.87266299999999997</v>
      </c>
      <c r="U256" s="831">
        <v>17308.39</v>
      </c>
      <c r="V256" s="831">
        <v>14700</v>
      </c>
      <c r="W256" s="831">
        <v>8127.64</v>
      </c>
    </row>
    <row r="257" spans="1:40">
      <c r="A257" s="840">
        <v>10143</v>
      </c>
      <c r="B257" s="841" t="s">
        <v>737</v>
      </c>
      <c r="C257" s="842">
        <v>395</v>
      </c>
      <c r="D257" s="842">
        <v>396</v>
      </c>
      <c r="E257" s="842">
        <v>397</v>
      </c>
      <c r="F257" s="848">
        <v>2744</v>
      </c>
      <c r="G257" s="848">
        <v>2744</v>
      </c>
      <c r="H257" s="848">
        <v>1725</v>
      </c>
      <c r="I257" s="848">
        <v>1098</v>
      </c>
      <c r="J257" s="848">
        <v>1098</v>
      </c>
      <c r="K257" s="848">
        <v>444</v>
      </c>
      <c r="L257" s="848">
        <v>400</v>
      </c>
      <c r="M257" s="831">
        <v>0.3</v>
      </c>
      <c r="N257" s="831"/>
      <c r="O257" s="842">
        <v>6</v>
      </c>
      <c r="P257" s="831" t="s">
        <v>737</v>
      </c>
      <c r="Q257" s="831"/>
      <c r="R257" s="832"/>
      <c r="S257" s="872">
        <v>333</v>
      </c>
      <c r="T257" s="831">
        <v>1.527163</v>
      </c>
      <c r="U257" s="831">
        <v>8252.4279999999999</v>
      </c>
      <c r="V257" s="831">
        <v>4900</v>
      </c>
      <c r="W257" s="831">
        <v>2401.7620000000002</v>
      </c>
    </row>
    <row r="258" spans="1:40">
      <c r="A258" s="840">
        <v>10144</v>
      </c>
      <c r="B258" s="841" t="s">
        <v>738</v>
      </c>
      <c r="C258" s="842">
        <v>395</v>
      </c>
      <c r="D258" s="842">
        <v>396</v>
      </c>
      <c r="E258" s="842">
        <v>397</v>
      </c>
      <c r="F258" s="848">
        <v>2744</v>
      </c>
      <c r="G258" s="848">
        <v>2744</v>
      </c>
      <c r="H258" s="848">
        <v>1725</v>
      </c>
      <c r="I258" s="848">
        <v>1098</v>
      </c>
      <c r="J258" s="848">
        <v>1098</v>
      </c>
      <c r="K258" s="848">
        <v>444</v>
      </c>
      <c r="L258" s="848">
        <v>400</v>
      </c>
      <c r="M258" s="831">
        <v>0.32500000000000001</v>
      </c>
      <c r="N258" s="831"/>
      <c r="O258" s="842">
        <v>6</v>
      </c>
      <c r="P258" s="831" t="s">
        <v>737</v>
      </c>
      <c r="Q258" s="831" t="s">
        <v>872</v>
      </c>
      <c r="R258" s="832"/>
      <c r="S258" s="872">
        <v>334</v>
      </c>
      <c r="T258" s="831">
        <v>1.5</v>
      </c>
      <c r="U258" s="831">
        <v>3.55</v>
      </c>
      <c r="V258" s="831">
        <v>3.5</v>
      </c>
      <c r="W258" s="831">
        <v>3.2000000000000001E-2</v>
      </c>
    </row>
    <row r="259" spans="1:40">
      <c r="A259" s="840">
        <v>10145</v>
      </c>
      <c r="B259" s="841" t="s">
        <v>3515</v>
      </c>
      <c r="C259" s="842">
        <v>384</v>
      </c>
      <c r="D259" s="842">
        <v>385</v>
      </c>
      <c r="E259" s="842">
        <v>386</v>
      </c>
      <c r="F259" s="848">
        <v>16.600000000000001</v>
      </c>
      <c r="G259" s="848">
        <v>16.600000000000001</v>
      </c>
      <c r="H259" s="848">
        <v>9.4</v>
      </c>
      <c r="I259" s="848">
        <v>0.47</v>
      </c>
      <c r="J259" s="848">
        <v>0.47</v>
      </c>
      <c r="K259" s="848">
        <v>0.15</v>
      </c>
      <c r="L259" s="848">
        <v>7</v>
      </c>
      <c r="M259" s="831">
        <v>0.08</v>
      </c>
      <c r="N259" s="831"/>
      <c r="O259" s="842">
        <v>1</v>
      </c>
      <c r="P259" s="831" t="s">
        <v>3515</v>
      </c>
      <c r="Q259" s="831"/>
      <c r="R259" s="832"/>
      <c r="S259" s="872">
        <v>335</v>
      </c>
      <c r="T259" s="831">
        <v>100</v>
      </c>
      <c r="U259" s="831">
        <v>2</v>
      </c>
      <c r="V259" s="831">
        <v>1.5</v>
      </c>
      <c r="W259" s="831">
        <v>5.0000000000000001E-3</v>
      </c>
    </row>
    <row r="260" spans="1:40">
      <c r="A260" s="840">
        <v>10146</v>
      </c>
      <c r="B260" s="841" t="s">
        <v>2390</v>
      </c>
      <c r="C260" s="842">
        <v>384</v>
      </c>
      <c r="D260" s="842">
        <v>385</v>
      </c>
      <c r="E260" s="842">
        <v>386</v>
      </c>
      <c r="F260" s="848">
        <v>16.600000000000001</v>
      </c>
      <c r="G260" s="848">
        <v>16.600000000000001</v>
      </c>
      <c r="H260" s="848">
        <v>9.4</v>
      </c>
      <c r="I260" s="848">
        <v>0.47</v>
      </c>
      <c r="J260" s="848">
        <v>0.47</v>
      </c>
      <c r="K260" s="848">
        <v>0.15</v>
      </c>
      <c r="L260" s="848">
        <v>7</v>
      </c>
      <c r="M260" s="831">
        <v>9.1999999999999998E-2</v>
      </c>
      <c r="N260" s="831"/>
      <c r="O260" s="842">
        <v>1</v>
      </c>
      <c r="P260" s="831" t="s">
        <v>2390</v>
      </c>
      <c r="Q260" s="831"/>
      <c r="R260" s="832"/>
      <c r="S260" s="872">
        <v>336</v>
      </c>
      <c r="T260" s="831">
        <v>3</v>
      </c>
      <c r="U260" s="831">
        <v>4</v>
      </c>
      <c r="V260" s="831">
        <v>3.5</v>
      </c>
      <c r="W260" s="831">
        <v>6.4000000000000001E-2</v>
      </c>
    </row>
    <row r="261" spans="1:40">
      <c r="A261" s="840">
        <v>10147</v>
      </c>
      <c r="B261" s="841" t="s">
        <v>171</v>
      </c>
      <c r="C261" s="842">
        <v>384</v>
      </c>
      <c r="D261" s="842">
        <v>385</v>
      </c>
      <c r="E261" s="842">
        <v>386</v>
      </c>
      <c r="F261" s="848">
        <v>16.600000000000001</v>
      </c>
      <c r="G261" s="848">
        <v>16.600000000000001</v>
      </c>
      <c r="H261" s="848">
        <v>9.4</v>
      </c>
      <c r="I261" s="848">
        <v>0.47</v>
      </c>
      <c r="J261" s="848">
        <v>0.47</v>
      </c>
      <c r="K261" s="848">
        <v>0.15</v>
      </c>
      <c r="L261" s="848">
        <v>7</v>
      </c>
      <c r="M261" s="831">
        <v>9.1999999999999998E-2</v>
      </c>
      <c r="N261" s="831"/>
      <c r="O261" s="842">
        <v>1</v>
      </c>
      <c r="P261" s="831" t="s">
        <v>171</v>
      </c>
      <c r="Q261" s="831"/>
      <c r="R261" s="832"/>
      <c r="S261" s="872">
        <v>337</v>
      </c>
      <c r="T261" s="831">
        <v>19</v>
      </c>
      <c r="U261" s="831">
        <v>0.2</v>
      </c>
      <c r="V261" s="831">
        <v>0</v>
      </c>
      <c r="W261" s="831">
        <v>0.01</v>
      </c>
    </row>
    <row r="262" spans="1:40">
      <c r="A262" s="840">
        <v>10148</v>
      </c>
      <c r="B262" s="841" t="s">
        <v>2824</v>
      </c>
      <c r="C262" s="842">
        <v>398</v>
      </c>
      <c r="D262" s="842">
        <v>399</v>
      </c>
      <c r="E262" s="842" t="s">
        <v>32</v>
      </c>
      <c r="F262" s="848">
        <v>16.600000000000001</v>
      </c>
      <c r="G262" s="848">
        <v>4</v>
      </c>
      <c r="H262" s="848" t="s">
        <v>32</v>
      </c>
      <c r="I262" s="848">
        <v>0.47</v>
      </c>
      <c r="J262" s="848">
        <v>4.5999999999999999E-2</v>
      </c>
      <c r="K262" s="848" t="s">
        <v>32</v>
      </c>
      <c r="L262" s="848">
        <v>7</v>
      </c>
      <c r="M262" s="831">
        <v>0.08</v>
      </c>
      <c r="N262" s="831"/>
      <c r="O262" s="842">
        <v>1</v>
      </c>
      <c r="P262" s="831" t="s">
        <v>2824</v>
      </c>
      <c r="Q262" s="831"/>
      <c r="R262" s="832"/>
      <c r="S262" s="872">
        <v>338</v>
      </c>
      <c r="T262" s="831">
        <v>2.5972149999999998</v>
      </c>
      <c r="U262" s="831">
        <v>5595.7430000000004</v>
      </c>
      <c r="V262" s="831">
        <v>2744</v>
      </c>
      <c r="W262" s="831">
        <v>1759.2139999999999</v>
      </c>
    </row>
    <row r="263" spans="1:40">
      <c r="A263" s="840">
        <v>10149</v>
      </c>
      <c r="B263" s="841" t="s">
        <v>3639</v>
      </c>
      <c r="C263" s="842">
        <v>398</v>
      </c>
      <c r="D263" s="842">
        <v>400</v>
      </c>
      <c r="E263" s="842" t="s">
        <v>32</v>
      </c>
      <c r="F263" s="848">
        <v>16.600000000000001</v>
      </c>
      <c r="G263" s="848">
        <v>5.5</v>
      </c>
      <c r="H263" s="848" t="s">
        <v>32</v>
      </c>
      <c r="I263" s="848">
        <v>0.47</v>
      </c>
      <c r="J263" s="848">
        <v>0.15</v>
      </c>
      <c r="K263" s="848" t="s">
        <v>32</v>
      </c>
      <c r="L263" s="848">
        <v>7</v>
      </c>
      <c r="M263" s="831">
        <v>0.08</v>
      </c>
      <c r="N263" s="831"/>
      <c r="O263" s="842">
        <v>1</v>
      </c>
      <c r="P263" s="831" t="s">
        <v>3639</v>
      </c>
      <c r="Q263" s="831"/>
      <c r="R263" s="832"/>
      <c r="S263" s="872">
        <v>339</v>
      </c>
      <c r="T263" s="831">
        <v>3.2930739999999998</v>
      </c>
      <c r="U263" s="831">
        <v>3187.125</v>
      </c>
      <c r="V263" s="831">
        <v>1725</v>
      </c>
      <c r="W263" s="831">
        <v>666.10429999999997</v>
      </c>
    </row>
    <row r="264" spans="1:40">
      <c r="A264" s="840">
        <v>10150</v>
      </c>
      <c r="B264" s="841" t="s">
        <v>2466</v>
      </c>
      <c r="C264" s="842">
        <v>387</v>
      </c>
      <c r="D264" s="842">
        <v>388</v>
      </c>
      <c r="E264" s="842">
        <v>389</v>
      </c>
      <c r="F264" s="848">
        <v>8.86</v>
      </c>
      <c r="G264" s="848">
        <v>8.86</v>
      </c>
      <c r="H264" s="848">
        <v>4.9000000000000004</v>
      </c>
      <c r="I264" s="964">
        <v>0.2</v>
      </c>
      <c r="J264" s="964">
        <v>0.2</v>
      </c>
      <c r="K264" s="964">
        <v>6.7000000000000004E-2</v>
      </c>
      <c r="L264" s="964">
        <v>4</v>
      </c>
      <c r="M264" s="831">
        <v>0.08</v>
      </c>
      <c r="N264" s="831"/>
      <c r="O264" s="842">
        <v>3</v>
      </c>
      <c r="P264" s="831" t="s">
        <v>2466</v>
      </c>
      <c r="Q264" s="831"/>
      <c r="R264" s="832"/>
      <c r="S264" s="872">
        <v>340</v>
      </c>
      <c r="T264" s="831">
        <v>93.5</v>
      </c>
      <c r="U264" s="831">
        <v>7.37</v>
      </c>
      <c r="V264" s="831">
        <v>4</v>
      </c>
      <c r="W264" s="831">
        <v>3.5999999999999997E-2</v>
      </c>
    </row>
    <row r="265" spans="1:40">
      <c r="A265" s="840">
        <v>10151</v>
      </c>
      <c r="B265" s="841" t="s">
        <v>1500</v>
      </c>
      <c r="C265" s="842">
        <v>401</v>
      </c>
      <c r="D265" s="842">
        <v>399</v>
      </c>
      <c r="E265" s="842" t="s">
        <v>32</v>
      </c>
      <c r="F265" s="848">
        <v>8.86</v>
      </c>
      <c r="G265" s="848">
        <v>4</v>
      </c>
      <c r="H265" s="848" t="s">
        <v>32</v>
      </c>
      <c r="I265" s="964">
        <v>0.2</v>
      </c>
      <c r="J265" s="964">
        <v>4.5999999999999999E-2</v>
      </c>
      <c r="K265" s="964" t="s">
        <v>32</v>
      </c>
      <c r="L265" s="964">
        <v>4</v>
      </c>
      <c r="M265" s="831">
        <v>7.8E-2</v>
      </c>
      <c r="N265" s="831"/>
      <c r="O265" s="842">
        <v>3</v>
      </c>
      <c r="P265" s="831" t="s">
        <v>1500</v>
      </c>
      <c r="Q265" s="831"/>
      <c r="R265" s="832"/>
      <c r="S265" s="872">
        <v>341</v>
      </c>
      <c r="T265" s="831">
        <v>7.5750000000000002</v>
      </c>
      <c r="U265" s="831">
        <v>418.11</v>
      </c>
      <c r="V265" s="831">
        <v>206</v>
      </c>
      <c r="W265" s="831">
        <v>28</v>
      </c>
    </row>
    <row r="266" spans="1:40">
      <c r="A266" s="840">
        <v>10152</v>
      </c>
      <c r="B266" s="841" t="s">
        <v>2116</v>
      </c>
      <c r="C266" s="842">
        <v>401</v>
      </c>
      <c r="D266" s="842">
        <v>402</v>
      </c>
      <c r="E266" s="842" t="s">
        <v>32</v>
      </c>
      <c r="F266" s="848">
        <v>8.86</v>
      </c>
      <c r="G266" s="848">
        <v>5.5</v>
      </c>
      <c r="H266" s="848" t="s">
        <v>32</v>
      </c>
      <c r="I266" s="964">
        <v>0.2</v>
      </c>
      <c r="J266" s="964">
        <v>8.3000000000000004E-2</v>
      </c>
      <c r="K266" s="964" t="s">
        <v>32</v>
      </c>
      <c r="L266" s="964">
        <v>4</v>
      </c>
      <c r="M266" s="831">
        <v>7.8E-2</v>
      </c>
      <c r="N266" s="831"/>
      <c r="O266" s="842">
        <v>3</v>
      </c>
      <c r="P266" s="831" t="s">
        <v>2116</v>
      </c>
      <c r="Q266" s="831"/>
      <c r="R266" s="832"/>
      <c r="S266" s="872">
        <v>342</v>
      </c>
      <c r="T266" s="831">
        <v>10.47</v>
      </c>
      <c r="U266" s="831">
        <v>289.10000000000002</v>
      </c>
      <c r="V266" s="831">
        <v>176</v>
      </c>
      <c r="W266" s="831">
        <v>11.45</v>
      </c>
    </row>
    <row r="267" spans="1:40">
      <c r="A267" s="840">
        <v>10153</v>
      </c>
      <c r="B267" s="841" t="s">
        <v>335</v>
      </c>
      <c r="C267" s="842">
        <v>379</v>
      </c>
      <c r="D267" s="842">
        <v>379</v>
      </c>
      <c r="E267" s="842">
        <v>380</v>
      </c>
      <c r="F267" s="848">
        <v>8.9</v>
      </c>
      <c r="G267" s="848">
        <v>8.9</v>
      </c>
      <c r="H267" s="848">
        <v>3</v>
      </c>
      <c r="I267" s="964">
        <v>0.28000000000000003</v>
      </c>
      <c r="J267" s="964">
        <v>0.28000000000000003</v>
      </c>
      <c r="K267" s="964">
        <v>3.5000000000000003E-2</v>
      </c>
      <c r="L267" s="964">
        <v>3</v>
      </c>
      <c r="M267" s="831">
        <v>0.1</v>
      </c>
      <c r="N267" s="831"/>
      <c r="O267" s="842">
        <v>4</v>
      </c>
      <c r="P267" s="831" t="s">
        <v>335</v>
      </c>
      <c r="Q267" s="831"/>
      <c r="R267" s="832"/>
      <c r="S267" s="872">
        <v>343</v>
      </c>
      <c r="T267" s="831">
        <v>15.27</v>
      </c>
      <c r="U267" s="831">
        <v>148.4</v>
      </c>
      <c r="V267" s="831">
        <v>98</v>
      </c>
      <c r="W267" s="831">
        <v>4.55</v>
      </c>
    </row>
    <row r="268" spans="1:40">
      <c r="A268" s="840">
        <v>10154</v>
      </c>
      <c r="B268" s="841" t="s">
        <v>1623</v>
      </c>
      <c r="C268" s="842">
        <v>379</v>
      </c>
      <c r="D268" s="842">
        <v>379</v>
      </c>
      <c r="E268" s="842">
        <v>380</v>
      </c>
      <c r="F268" s="848">
        <v>8.9</v>
      </c>
      <c r="G268" s="848">
        <v>8.9</v>
      </c>
      <c r="H268" s="848">
        <v>3</v>
      </c>
      <c r="I268" s="964">
        <v>0.28000000000000003</v>
      </c>
      <c r="J268" s="964">
        <v>0.28000000000000003</v>
      </c>
      <c r="K268" s="964">
        <v>3.5000000000000003E-2</v>
      </c>
      <c r="L268" s="964">
        <v>3</v>
      </c>
      <c r="M268" s="831">
        <v>0.1</v>
      </c>
      <c r="N268" s="831"/>
      <c r="O268" s="842">
        <v>4</v>
      </c>
      <c r="P268" s="831" t="s">
        <v>1623</v>
      </c>
      <c r="Q268" s="831"/>
      <c r="R268" s="832"/>
      <c r="S268" s="872">
        <v>344</v>
      </c>
      <c r="T268" s="831">
        <v>0.87266299999999997</v>
      </c>
      <c r="U268" s="831">
        <v>17308.39</v>
      </c>
      <c r="V268" s="831">
        <v>14700</v>
      </c>
      <c r="W268" s="831">
        <v>9079.57</v>
      </c>
    </row>
    <row r="269" spans="1:40">
      <c r="A269" s="840">
        <v>10155</v>
      </c>
      <c r="B269" s="841" t="s">
        <v>933</v>
      </c>
      <c r="C269" s="842">
        <v>403</v>
      </c>
      <c r="D269" s="842">
        <v>403</v>
      </c>
      <c r="E269" s="842">
        <v>404</v>
      </c>
      <c r="F269" s="848">
        <v>110</v>
      </c>
      <c r="G269" s="848">
        <v>110</v>
      </c>
      <c r="H269" s="848">
        <v>60</v>
      </c>
      <c r="I269" s="964">
        <v>4</v>
      </c>
      <c r="J269" s="964">
        <v>4</v>
      </c>
      <c r="K269" s="964">
        <v>1.5</v>
      </c>
      <c r="L269" s="964">
        <v>35</v>
      </c>
      <c r="M269" s="831">
        <v>0.1</v>
      </c>
      <c r="N269" s="831"/>
      <c r="O269" s="842">
        <v>4</v>
      </c>
      <c r="P269" s="831" t="s">
        <v>1138</v>
      </c>
      <c r="Q269" s="831"/>
      <c r="R269" s="832"/>
      <c r="S269" s="872">
        <v>345</v>
      </c>
      <c r="T269" s="831">
        <v>0.72721980000000008</v>
      </c>
      <c r="U269" s="831">
        <v>16873.66</v>
      </c>
      <c r="V269" s="831">
        <v>14700</v>
      </c>
      <c r="W269" s="831">
        <v>7824.9740000000002</v>
      </c>
    </row>
    <row r="270" spans="1:40">
      <c r="A270" s="840">
        <v>10156</v>
      </c>
      <c r="B270" s="841" t="s">
        <v>658</v>
      </c>
      <c r="C270" s="842">
        <v>405</v>
      </c>
      <c r="D270" s="842">
        <v>406</v>
      </c>
      <c r="E270" s="842">
        <v>407</v>
      </c>
      <c r="F270" s="848">
        <v>1360</v>
      </c>
      <c r="G270" s="848">
        <v>1360</v>
      </c>
      <c r="H270" s="848">
        <v>735</v>
      </c>
      <c r="I270" s="964">
        <v>225.4</v>
      </c>
      <c r="J270" s="964">
        <v>225.4</v>
      </c>
      <c r="K270" s="964">
        <v>196</v>
      </c>
      <c r="L270" s="964">
        <v>210</v>
      </c>
      <c r="M270" s="831">
        <v>0.215</v>
      </c>
      <c r="N270" s="831"/>
      <c r="O270" s="842">
        <v>1</v>
      </c>
      <c r="P270" s="831" t="s">
        <v>658</v>
      </c>
      <c r="Q270" s="831"/>
      <c r="R270" s="832"/>
      <c r="S270" s="872">
        <v>346</v>
      </c>
      <c r="T270" s="831">
        <v>0.87266299999999997</v>
      </c>
      <c r="U270" s="831">
        <v>17308.39</v>
      </c>
      <c r="V270" s="831">
        <v>14700</v>
      </c>
      <c r="W270" s="831">
        <v>8904.2780000000002</v>
      </c>
    </row>
    <row r="271" spans="1:40">
      <c r="A271" s="840">
        <v>10157</v>
      </c>
      <c r="B271" s="841" t="s">
        <v>659</v>
      </c>
      <c r="C271" s="842">
        <v>405</v>
      </c>
      <c r="D271" s="842">
        <v>406</v>
      </c>
      <c r="E271" s="842">
        <v>407</v>
      </c>
      <c r="F271" s="848">
        <v>1360</v>
      </c>
      <c r="G271" s="848">
        <v>1360</v>
      </c>
      <c r="H271" s="848">
        <v>735</v>
      </c>
      <c r="I271" s="964">
        <v>225.4</v>
      </c>
      <c r="J271" s="964">
        <v>225.4</v>
      </c>
      <c r="K271" s="964">
        <v>196</v>
      </c>
      <c r="L271" s="964">
        <v>210</v>
      </c>
      <c r="M271" s="831">
        <v>0.23799999999999999</v>
      </c>
      <c r="N271" s="831"/>
      <c r="O271" s="842">
        <v>1</v>
      </c>
      <c r="P271" s="831" t="s">
        <v>658</v>
      </c>
      <c r="Q271" s="831" t="s">
        <v>872</v>
      </c>
      <c r="R271" s="832"/>
      <c r="S271" s="872">
        <v>347</v>
      </c>
      <c r="T271" s="831">
        <v>1.0181089999999999</v>
      </c>
      <c r="U271" s="831">
        <v>7134.9520000000002</v>
      </c>
      <c r="V271" s="831">
        <v>4900</v>
      </c>
      <c r="W271" s="831">
        <v>2383.8829999999998</v>
      </c>
      <c r="Y271" s="91">
        <v>0.1</v>
      </c>
      <c r="AC271" s="91">
        <v>0.3</v>
      </c>
      <c r="AG271" s="91">
        <v>0.5</v>
      </c>
      <c r="AK271" s="91">
        <v>1</v>
      </c>
    </row>
    <row r="272" spans="1:40">
      <c r="A272" s="840">
        <v>10158</v>
      </c>
      <c r="B272" s="841" t="s">
        <v>1876</v>
      </c>
      <c r="C272" s="842">
        <v>408</v>
      </c>
      <c r="D272" s="842">
        <v>409</v>
      </c>
      <c r="E272" s="842">
        <v>394</v>
      </c>
      <c r="F272" s="848">
        <v>1360</v>
      </c>
      <c r="G272" s="848">
        <v>1360</v>
      </c>
      <c r="H272" s="848">
        <v>735</v>
      </c>
      <c r="I272" s="964">
        <v>147</v>
      </c>
      <c r="J272" s="964">
        <v>147</v>
      </c>
      <c r="K272" s="964">
        <v>82</v>
      </c>
      <c r="L272" s="964">
        <v>210</v>
      </c>
      <c r="M272" s="831">
        <v>0.36</v>
      </c>
      <c r="N272" s="831"/>
      <c r="O272" s="842">
        <v>3</v>
      </c>
      <c r="P272" s="831" t="s">
        <v>1876</v>
      </c>
      <c r="Q272" s="831"/>
      <c r="R272" s="832"/>
      <c r="S272" s="872">
        <v>348</v>
      </c>
      <c r="T272" s="831">
        <v>2.5972149999999998</v>
      </c>
      <c r="U272" s="831">
        <v>5595.7430000000004</v>
      </c>
      <c r="V272" s="831">
        <v>2744</v>
      </c>
      <c r="W272" s="831">
        <v>1866.098</v>
      </c>
      <c r="X272" s="91" t="s">
        <v>2989</v>
      </c>
      <c r="Y272" s="91" t="s">
        <v>1105</v>
      </c>
      <c r="Z272" s="91" t="s">
        <v>320</v>
      </c>
      <c r="AA272" s="91" t="s">
        <v>2984</v>
      </c>
      <c r="AB272" s="91" t="s">
        <v>2985</v>
      </c>
      <c r="AC272" s="91" t="s">
        <v>1105</v>
      </c>
      <c r="AD272" s="91" t="s">
        <v>320</v>
      </c>
      <c r="AE272" s="91" t="s">
        <v>2984</v>
      </c>
      <c r="AF272" s="91" t="s">
        <v>2985</v>
      </c>
      <c r="AG272" s="91" t="s">
        <v>1105</v>
      </c>
      <c r="AH272" s="91" t="s">
        <v>320</v>
      </c>
      <c r="AI272" s="91" t="s">
        <v>2984</v>
      </c>
      <c r="AJ272" s="91" t="s">
        <v>2985</v>
      </c>
      <c r="AK272" s="91" t="s">
        <v>1105</v>
      </c>
      <c r="AL272" s="91" t="s">
        <v>320</v>
      </c>
      <c r="AM272" s="91" t="s">
        <v>2984</v>
      </c>
      <c r="AN272" s="91" t="s">
        <v>2985</v>
      </c>
    </row>
    <row r="273" spans="1:44" ht="14.25">
      <c r="A273" s="840">
        <v>10159</v>
      </c>
      <c r="B273" s="841" t="s">
        <v>2271</v>
      </c>
      <c r="C273" s="842">
        <v>410</v>
      </c>
      <c r="D273" s="842">
        <v>411</v>
      </c>
      <c r="E273" s="842">
        <v>412</v>
      </c>
      <c r="F273" s="848">
        <v>940</v>
      </c>
      <c r="G273" s="848">
        <v>940</v>
      </c>
      <c r="H273" s="848">
        <v>490</v>
      </c>
      <c r="I273" s="964">
        <v>89</v>
      </c>
      <c r="J273" s="964">
        <v>89</v>
      </c>
      <c r="K273" s="964">
        <v>46</v>
      </c>
      <c r="L273" s="964">
        <v>165</v>
      </c>
      <c r="M273" s="831">
        <v>0.215</v>
      </c>
      <c r="N273" s="831"/>
      <c r="O273" s="842">
        <v>1</v>
      </c>
      <c r="P273" s="831" t="s">
        <v>2271</v>
      </c>
      <c r="Q273" s="831"/>
      <c r="R273" s="832"/>
      <c r="S273" s="872">
        <v>349</v>
      </c>
      <c r="T273" s="841">
        <f t="shared" ref="T273:W275" si="2">IF(Anal_Input_1&lt;=$Y$271,Y273,IF(Anal_Input_1&lt;=$AC$271,Y273+(AC273-Y273)/($AC$271-$Y$271)*(Anal_Input_1-$Y$271),IF(Anal_Input_1&lt;=$AG$271,AC273+(AG273-AC273)/($AG$271-$AC$271)*(Anal_Input_1-$AC$271),AG273)))</f>
        <v>77.900000000000006</v>
      </c>
      <c r="U273" s="831">
        <f t="shared" si="2"/>
        <v>1.1399999999999999</v>
      </c>
      <c r="V273" s="831">
        <f t="shared" si="2"/>
        <v>0.54</v>
      </c>
      <c r="W273" s="831">
        <f t="shared" si="2"/>
        <v>7.7000000000000002E-3</v>
      </c>
      <c r="X273" s="180" t="s">
        <v>2986</v>
      </c>
      <c r="Y273" s="897">
        <v>314.16000000000003</v>
      </c>
      <c r="Z273" s="898">
        <v>1.0840000000000001</v>
      </c>
      <c r="AA273" s="899">
        <v>0.11</v>
      </c>
      <c r="AB273" s="898">
        <v>3.0999999999999999E-3</v>
      </c>
      <c r="AC273" s="897">
        <v>125.66</v>
      </c>
      <c r="AD273" s="898">
        <v>1.0209999999999999</v>
      </c>
      <c r="AE273" s="899">
        <v>0.33</v>
      </c>
      <c r="AF273" s="898">
        <v>5.4999999999999997E-3</v>
      </c>
      <c r="AG273" s="897">
        <v>77.900000000000006</v>
      </c>
      <c r="AH273" s="898">
        <v>1.1399999999999999</v>
      </c>
      <c r="AI273" s="899">
        <v>0.54</v>
      </c>
      <c r="AJ273" s="898">
        <v>7.7000000000000002E-3</v>
      </c>
      <c r="AK273" s="197">
        <v>40.54</v>
      </c>
      <c r="AL273" s="197">
        <v>1.476</v>
      </c>
      <c r="AM273" s="197">
        <v>0.99</v>
      </c>
      <c r="AN273" s="197">
        <v>1.2E-2</v>
      </c>
    </row>
    <row r="274" spans="1:44" ht="14.25">
      <c r="A274" s="840">
        <v>10160</v>
      </c>
      <c r="B274" s="841" t="s">
        <v>2272</v>
      </c>
      <c r="C274" s="842">
        <v>410</v>
      </c>
      <c r="D274" s="842">
        <v>411</v>
      </c>
      <c r="E274" s="842">
        <v>412</v>
      </c>
      <c r="F274" s="848">
        <v>940</v>
      </c>
      <c r="G274" s="848">
        <v>940</v>
      </c>
      <c r="H274" s="848">
        <v>490</v>
      </c>
      <c r="I274" s="964">
        <v>89</v>
      </c>
      <c r="J274" s="964">
        <v>89</v>
      </c>
      <c r="K274" s="964">
        <v>46</v>
      </c>
      <c r="L274" s="964">
        <v>165</v>
      </c>
      <c r="M274" s="831">
        <v>0.23799999999999999</v>
      </c>
      <c r="N274" s="831"/>
      <c r="O274" s="842">
        <v>1</v>
      </c>
      <c r="P274" s="831" t="s">
        <v>2271</v>
      </c>
      <c r="Q274" s="831" t="s">
        <v>872</v>
      </c>
      <c r="R274" s="832"/>
      <c r="S274" s="872">
        <v>350</v>
      </c>
      <c r="T274" s="841">
        <f t="shared" si="2"/>
        <v>77.2</v>
      </c>
      <c r="U274" s="831">
        <f t="shared" si="2"/>
        <v>0.88</v>
      </c>
      <c r="V274" s="831">
        <f t="shared" si="2"/>
        <v>0.44</v>
      </c>
      <c r="W274" s="831">
        <f t="shared" si="2"/>
        <v>5.7000000000000002E-3</v>
      </c>
      <c r="X274" s="180" t="s">
        <v>2987</v>
      </c>
      <c r="Y274" s="900">
        <v>314.16000000000003</v>
      </c>
      <c r="Z274" s="898">
        <v>0.90700000000000003</v>
      </c>
      <c r="AA274" s="899">
        <v>0.09</v>
      </c>
      <c r="AB274" s="901">
        <v>2.5999999999999999E-3</v>
      </c>
      <c r="AC274" s="900">
        <v>125.66</v>
      </c>
      <c r="AD274" s="898">
        <v>0.81</v>
      </c>
      <c r="AE274" s="899">
        <v>0.27</v>
      </c>
      <c r="AF274" s="901">
        <v>4.3E-3</v>
      </c>
      <c r="AG274" s="900">
        <v>77.2</v>
      </c>
      <c r="AH274" s="898">
        <v>0.88</v>
      </c>
      <c r="AI274" s="899">
        <v>0.44</v>
      </c>
      <c r="AJ274" s="901">
        <v>5.7000000000000002E-3</v>
      </c>
      <c r="AK274" s="197">
        <v>40.54</v>
      </c>
      <c r="AL274" s="197">
        <v>1.155</v>
      </c>
      <c r="AM274" s="197">
        <v>0.79</v>
      </c>
      <c r="AN274" s="197">
        <v>8.9999999999999993E-3</v>
      </c>
    </row>
    <row r="275" spans="1:44" ht="14.25">
      <c r="A275" s="840">
        <v>10161</v>
      </c>
      <c r="B275" s="841" t="s">
        <v>1209</v>
      </c>
      <c r="C275" s="842">
        <v>413</v>
      </c>
      <c r="D275" s="842">
        <v>414</v>
      </c>
      <c r="E275" s="842">
        <v>415</v>
      </c>
      <c r="F275" s="848">
        <v>940</v>
      </c>
      <c r="G275" s="848">
        <v>940</v>
      </c>
      <c r="H275" s="848">
        <v>490</v>
      </c>
      <c r="I275" s="848">
        <v>120</v>
      </c>
      <c r="J275" s="848">
        <v>120</v>
      </c>
      <c r="K275" s="848">
        <v>100</v>
      </c>
      <c r="L275" s="848">
        <v>165</v>
      </c>
      <c r="M275" s="831">
        <v>0.215</v>
      </c>
      <c r="N275" s="831"/>
      <c r="O275" s="842">
        <v>1</v>
      </c>
      <c r="P275" s="831" t="s">
        <v>1209</v>
      </c>
      <c r="Q275" s="831"/>
      <c r="R275" s="832"/>
      <c r="S275" s="872">
        <v>351</v>
      </c>
      <c r="T275" s="841">
        <f t="shared" si="2"/>
        <v>78.540000000000006</v>
      </c>
      <c r="U275" s="831">
        <f t="shared" si="2"/>
        <v>0.32900000000000001</v>
      </c>
      <c r="V275" s="831">
        <f t="shared" si="2"/>
        <v>0.18</v>
      </c>
      <c r="W275" s="831">
        <f t="shared" si="2"/>
        <v>1.9E-3</v>
      </c>
      <c r="X275" s="180" t="s">
        <v>2988</v>
      </c>
      <c r="Y275" s="900">
        <v>314.16000000000003</v>
      </c>
      <c r="Z275" s="898">
        <v>0.48</v>
      </c>
      <c r="AA275" s="899">
        <v>0.04</v>
      </c>
      <c r="AB275" s="901">
        <v>1.4E-3</v>
      </c>
      <c r="AC275" s="900">
        <v>125.66</v>
      </c>
      <c r="AD275" s="898">
        <v>0.32400000000000001</v>
      </c>
      <c r="AE275" s="899">
        <v>0.11</v>
      </c>
      <c r="AF275" s="901">
        <v>1.6999999999999999E-3</v>
      </c>
      <c r="AG275" s="900">
        <v>78.540000000000006</v>
      </c>
      <c r="AH275" s="898">
        <v>0.32900000000000001</v>
      </c>
      <c r="AI275" s="899">
        <v>0.18</v>
      </c>
      <c r="AJ275" s="901">
        <v>1.9E-3</v>
      </c>
      <c r="AK275" s="197">
        <v>40.54</v>
      </c>
      <c r="AL275" s="197">
        <v>0.442</v>
      </c>
      <c r="AM275" s="197">
        <v>0.32</v>
      </c>
      <c r="AN275" s="197">
        <v>3.0000000000000001E-3</v>
      </c>
    </row>
    <row r="276" spans="1:44">
      <c r="A276" s="840">
        <v>10162</v>
      </c>
      <c r="B276" s="841" t="s">
        <v>1210</v>
      </c>
      <c r="C276" s="842">
        <v>413</v>
      </c>
      <c r="D276" s="842">
        <v>414</v>
      </c>
      <c r="E276" s="842">
        <v>415</v>
      </c>
      <c r="F276" s="848">
        <v>940</v>
      </c>
      <c r="G276" s="848">
        <v>940</v>
      </c>
      <c r="H276" s="848">
        <v>490</v>
      </c>
      <c r="I276" s="848">
        <v>120</v>
      </c>
      <c r="J276" s="848">
        <v>120</v>
      </c>
      <c r="K276" s="848">
        <v>100</v>
      </c>
      <c r="L276" s="848">
        <v>165</v>
      </c>
      <c r="M276" s="831">
        <v>0.23799999999999999</v>
      </c>
      <c r="N276" s="831"/>
      <c r="O276" s="842">
        <v>1</v>
      </c>
      <c r="P276" s="831" t="s">
        <v>1209</v>
      </c>
      <c r="Q276" s="831" t="s">
        <v>872</v>
      </c>
      <c r="R276" s="832"/>
      <c r="S276" s="872">
        <v>352</v>
      </c>
      <c r="T276" s="841">
        <v>4.1879999999999997</v>
      </c>
      <c r="U276" s="831">
        <v>1816</v>
      </c>
      <c r="V276" s="831">
        <v>1225</v>
      </c>
      <c r="W276" s="831">
        <v>141.1</v>
      </c>
    </row>
    <row r="277" spans="1:44">
      <c r="A277" s="840">
        <v>10163</v>
      </c>
      <c r="B277" s="841" t="s">
        <v>1969</v>
      </c>
      <c r="C277" s="842">
        <v>410</v>
      </c>
      <c r="D277" s="842">
        <v>411</v>
      </c>
      <c r="E277" s="842">
        <v>412</v>
      </c>
      <c r="F277" s="848">
        <v>940</v>
      </c>
      <c r="G277" s="848">
        <v>940</v>
      </c>
      <c r="H277" s="848">
        <v>490</v>
      </c>
      <c r="I277" s="848">
        <v>89</v>
      </c>
      <c r="J277" s="848">
        <v>89</v>
      </c>
      <c r="K277" s="848">
        <v>46</v>
      </c>
      <c r="L277" s="848">
        <v>165</v>
      </c>
      <c r="M277" s="831">
        <v>0.36</v>
      </c>
      <c r="N277" s="831"/>
      <c r="O277" s="842">
        <v>3</v>
      </c>
      <c r="P277" s="831" t="s">
        <v>1969</v>
      </c>
      <c r="Q277" s="831"/>
      <c r="R277" s="832"/>
      <c r="S277" s="872">
        <v>353</v>
      </c>
      <c r="T277" s="841">
        <v>3.49</v>
      </c>
      <c r="U277" s="831">
        <v>1718</v>
      </c>
      <c r="V277" s="831">
        <v>1225</v>
      </c>
      <c r="W277" s="831">
        <v>141.1</v>
      </c>
    </row>
    <row r="278" spans="1:44">
      <c r="A278" s="840">
        <v>10164</v>
      </c>
      <c r="B278" s="841" t="s">
        <v>567</v>
      </c>
      <c r="C278" s="842">
        <v>416</v>
      </c>
      <c r="D278" s="842">
        <v>417</v>
      </c>
      <c r="E278" s="842">
        <v>418</v>
      </c>
      <c r="F278" s="848">
        <v>1960</v>
      </c>
      <c r="G278" s="848">
        <v>1960</v>
      </c>
      <c r="H278" s="848">
        <v>1050</v>
      </c>
      <c r="I278" s="848">
        <v>260</v>
      </c>
      <c r="J278" s="848">
        <v>260</v>
      </c>
      <c r="K278" s="848">
        <v>160</v>
      </c>
      <c r="L278" s="848">
        <v>360</v>
      </c>
      <c r="M278" s="831">
        <v>0.26</v>
      </c>
      <c r="N278" s="831"/>
      <c r="O278" s="842">
        <v>1</v>
      </c>
      <c r="P278" s="831" t="s">
        <v>567</v>
      </c>
      <c r="Q278" s="831"/>
      <c r="R278" s="832"/>
      <c r="S278" s="872">
        <v>354</v>
      </c>
      <c r="T278" s="841">
        <v>2.76</v>
      </c>
      <c r="U278" s="831">
        <v>923</v>
      </c>
      <c r="V278" s="831">
        <v>706</v>
      </c>
      <c r="W278" s="831">
        <v>78.400000000000006</v>
      </c>
    </row>
    <row r="279" spans="1:44">
      <c r="A279" s="840">
        <v>10165</v>
      </c>
      <c r="B279" s="841" t="s">
        <v>568</v>
      </c>
      <c r="C279" s="842">
        <v>416</v>
      </c>
      <c r="D279" s="842">
        <v>417</v>
      </c>
      <c r="E279" s="842">
        <v>418</v>
      </c>
      <c r="F279" s="848">
        <v>1960</v>
      </c>
      <c r="G279" s="848">
        <v>1960</v>
      </c>
      <c r="H279" s="848">
        <v>1050</v>
      </c>
      <c r="I279" s="848">
        <v>260</v>
      </c>
      <c r="J279" s="848">
        <v>260</v>
      </c>
      <c r="K279" s="848">
        <v>160</v>
      </c>
      <c r="L279" s="848">
        <v>360</v>
      </c>
      <c r="M279" s="831">
        <v>0.27</v>
      </c>
      <c r="N279" s="831"/>
      <c r="O279" s="842">
        <v>1</v>
      </c>
      <c r="P279" s="831" t="s">
        <v>567</v>
      </c>
      <c r="Q279" s="831" t="s">
        <v>872</v>
      </c>
      <c r="R279" s="832"/>
      <c r="S279" s="872">
        <v>355</v>
      </c>
      <c r="T279" s="841">
        <v>4.1879999999999997</v>
      </c>
      <c r="U279" s="831">
        <v>1973</v>
      </c>
      <c r="V279" s="831">
        <v>1382</v>
      </c>
      <c r="W279" s="831">
        <v>141.1</v>
      </c>
    </row>
    <row r="280" spans="1:44">
      <c r="A280" s="840">
        <v>10166</v>
      </c>
      <c r="B280" s="841" t="s">
        <v>2683</v>
      </c>
      <c r="C280" s="842">
        <v>419</v>
      </c>
      <c r="D280" s="842">
        <v>420</v>
      </c>
      <c r="E280" s="842">
        <v>421</v>
      </c>
      <c r="F280" s="848">
        <v>1960</v>
      </c>
      <c r="G280" s="848">
        <v>1960</v>
      </c>
      <c r="H280" s="848">
        <v>1050</v>
      </c>
      <c r="I280" s="848">
        <v>460</v>
      </c>
      <c r="J280" s="848">
        <v>460</v>
      </c>
      <c r="K280" s="848">
        <v>360</v>
      </c>
      <c r="L280" s="848">
        <v>360</v>
      </c>
      <c r="M280" s="831">
        <v>0.26</v>
      </c>
      <c r="N280" s="831"/>
      <c r="O280" s="842">
        <v>1</v>
      </c>
      <c r="P280" s="831" t="s">
        <v>2683</v>
      </c>
      <c r="Q280" s="831"/>
      <c r="R280" s="832"/>
      <c r="S280" s="872">
        <v>356</v>
      </c>
      <c r="T280" s="841">
        <v>3.49</v>
      </c>
      <c r="U280" s="831">
        <v>1874.44</v>
      </c>
      <c r="V280" s="831">
        <v>1382</v>
      </c>
      <c r="W280" s="831">
        <v>141.1</v>
      </c>
    </row>
    <row r="281" spans="1:44">
      <c r="A281" s="840">
        <v>10167</v>
      </c>
      <c r="B281" s="841" t="s">
        <v>2684</v>
      </c>
      <c r="C281" s="842">
        <v>419</v>
      </c>
      <c r="D281" s="842">
        <v>420</v>
      </c>
      <c r="E281" s="842">
        <v>421</v>
      </c>
      <c r="F281" s="848">
        <v>1960</v>
      </c>
      <c r="G281" s="848">
        <v>1960</v>
      </c>
      <c r="H281" s="848">
        <v>1050</v>
      </c>
      <c r="I281" s="848">
        <v>460</v>
      </c>
      <c r="J281" s="848">
        <v>460</v>
      </c>
      <c r="K281" s="848">
        <v>360</v>
      </c>
      <c r="L281" s="848">
        <v>360</v>
      </c>
      <c r="M281" s="831">
        <v>0.27</v>
      </c>
      <c r="N281" s="831"/>
      <c r="O281" s="842">
        <v>1</v>
      </c>
      <c r="P281" s="831" t="s">
        <v>2683</v>
      </c>
      <c r="Q281" s="831" t="s">
        <v>872</v>
      </c>
      <c r="R281" s="832"/>
      <c r="S281" s="872">
        <v>357</v>
      </c>
      <c r="T281" s="841">
        <v>2.76</v>
      </c>
      <c r="U281" s="831">
        <v>932</v>
      </c>
      <c r="V281" s="831">
        <v>715</v>
      </c>
      <c r="W281" s="831">
        <v>78.400000000000006</v>
      </c>
    </row>
    <row r="282" spans="1:44">
      <c r="A282" s="840">
        <v>10168</v>
      </c>
      <c r="B282" s="841" t="s">
        <v>1480</v>
      </c>
      <c r="C282" s="842">
        <v>422</v>
      </c>
      <c r="D282" s="842">
        <v>422</v>
      </c>
      <c r="E282" s="842">
        <v>423</v>
      </c>
      <c r="F282" s="848">
        <v>22</v>
      </c>
      <c r="G282" s="848">
        <v>22</v>
      </c>
      <c r="H282" s="848">
        <v>9.8000000000000007</v>
      </c>
      <c r="I282" s="848">
        <v>0.65</v>
      </c>
      <c r="J282" s="848">
        <v>0.65</v>
      </c>
      <c r="K282" s="848">
        <v>0.17</v>
      </c>
      <c r="L282" s="848">
        <v>12</v>
      </c>
      <c r="M282" s="831">
        <v>0.1</v>
      </c>
      <c r="N282" s="831"/>
      <c r="O282" s="842">
        <v>2</v>
      </c>
      <c r="P282" s="831" t="s">
        <v>1480</v>
      </c>
      <c r="Q282" s="831"/>
      <c r="R282" s="832"/>
      <c r="S282" s="872">
        <v>358</v>
      </c>
      <c r="T282" s="841">
        <v>2.617</v>
      </c>
      <c r="U282" s="831">
        <v>2487</v>
      </c>
      <c r="V282" s="831">
        <v>1666</v>
      </c>
      <c r="W282" s="831">
        <v>313.60000000000002</v>
      </c>
    </row>
    <row r="283" spans="1:44">
      <c r="A283" s="840">
        <v>10169</v>
      </c>
      <c r="B283" s="841" t="s">
        <v>3729</v>
      </c>
      <c r="C283" s="842">
        <v>422</v>
      </c>
      <c r="D283" s="842">
        <v>422</v>
      </c>
      <c r="E283" s="842">
        <v>423</v>
      </c>
      <c r="F283" s="848">
        <v>22</v>
      </c>
      <c r="G283" s="848">
        <v>22</v>
      </c>
      <c r="H283" s="848">
        <v>9.8000000000000007</v>
      </c>
      <c r="I283" s="848">
        <v>0.65</v>
      </c>
      <c r="J283" s="848">
        <v>0.65</v>
      </c>
      <c r="K283" s="848">
        <v>0.17</v>
      </c>
      <c r="L283" s="848">
        <v>12</v>
      </c>
      <c r="M283" s="831">
        <v>0.1</v>
      </c>
      <c r="N283" s="831"/>
      <c r="O283" s="842">
        <v>2</v>
      </c>
      <c r="P283" s="831" t="s">
        <v>3729</v>
      </c>
      <c r="Q283" s="831"/>
      <c r="R283" s="832"/>
      <c r="S283" s="872">
        <v>359</v>
      </c>
      <c r="T283" s="841">
        <v>2.79</v>
      </c>
      <c r="U283" s="831">
        <v>2542</v>
      </c>
      <c r="V283" s="831">
        <v>1666</v>
      </c>
      <c r="W283" s="831">
        <v>313.60000000000002</v>
      </c>
      <c r="Y283" s="91">
        <v>1</v>
      </c>
      <c r="AC283" s="91">
        <v>2</v>
      </c>
      <c r="AG283" s="91">
        <v>3</v>
      </c>
      <c r="AK283" s="91">
        <v>4</v>
      </c>
      <c r="AO283" s="91">
        <v>6</v>
      </c>
    </row>
    <row r="284" spans="1:44">
      <c r="A284" s="840">
        <v>10170</v>
      </c>
      <c r="B284" s="841" t="s">
        <v>2795</v>
      </c>
      <c r="C284" s="842">
        <v>424</v>
      </c>
      <c r="D284" s="842">
        <v>424</v>
      </c>
      <c r="E284" s="842">
        <v>425</v>
      </c>
      <c r="F284" s="848">
        <v>7.72</v>
      </c>
      <c r="G284" s="848">
        <v>7.72</v>
      </c>
      <c r="H284" s="848">
        <v>0.21560000000000001</v>
      </c>
      <c r="I284" s="848">
        <v>0.24399999999999999</v>
      </c>
      <c r="J284" s="848">
        <v>0.24399999999999999</v>
      </c>
      <c r="K284" s="848">
        <v>2.7000000000000001E-3</v>
      </c>
      <c r="L284" s="848">
        <v>3</v>
      </c>
      <c r="M284" s="831">
        <v>0.1</v>
      </c>
      <c r="N284" s="831"/>
      <c r="O284" s="842">
        <v>2</v>
      </c>
      <c r="P284" s="831" t="s">
        <v>2795</v>
      </c>
      <c r="Q284" s="831"/>
      <c r="R284" s="832"/>
      <c r="S284" s="872">
        <v>360</v>
      </c>
      <c r="T284" s="841">
        <v>1.39</v>
      </c>
      <c r="U284" s="831">
        <v>1030</v>
      </c>
      <c r="V284" s="831">
        <v>715.4</v>
      </c>
      <c r="W284" s="831">
        <v>225.4</v>
      </c>
      <c r="X284" s="180" t="s">
        <v>2515</v>
      </c>
      <c r="Y284" s="91" t="s">
        <v>1105</v>
      </c>
      <c r="Z284" s="91" t="s">
        <v>320</v>
      </c>
      <c r="AA284" s="91" t="s">
        <v>2984</v>
      </c>
      <c r="AB284" s="91" t="s">
        <v>2985</v>
      </c>
      <c r="AC284" s="91" t="s">
        <v>1105</v>
      </c>
      <c r="AD284" s="91" t="s">
        <v>320</v>
      </c>
      <c r="AE284" s="91" t="s">
        <v>2984</v>
      </c>
      <c r="AF284" s="91" t="s">
        <v>2985</v>
      </c>
      <c r="AG284" s="91" t="s">
        <v>1105</v>
      </c>
      <c r="AH284" s="91" t="s">
        <v>320</v>
      </c>
      <c r="AI284" s="91" t="s">
        <v>2984</v>
      </c>
      <c r="AJ284" s="91" t="s">
        <v>2985</v>
      </c>
      <c r="AK284" s="91" t="s">
        <v>1105</v>
      </c>
      <c r="AL284" s="91" t="s">
        <v>320</v>
      </c>
      <c r="AM284" s="91" t="s">
        <v>2984</v>
      </c>
      <c r="AN284" s="91" t="s">
        <v>2985</v>
      </c>
      <c r="AO284" s="91" t="s">
        <v>1105</v>
      </c>
      <c r="AP284" s="91" t="s">
        <v>320</v>
      </c>
      <c r="AQ284" s="91" t="s">
        <v>2984</v>
      </c>
      <c r="AR284" s="91" t="s">
        <v>2985</v>
      </c>
    </row>
    <row r="285" spans="1:44">
      <c r="A285" s="840">
        <v>10171</v>
      </c>
      <c r="B285" s="841" t="s">
        <v>2262</v>
      </c>
      <c r="C285" s="842">
        <v>426</v>
      </c>
      <c r="D285" s="842">
        <v>426</v>
      </c>
      <c r="E285" s="842">
        <v>427</v>
      </c>
      <c r="F285" s="848">
        <v>7.72</v>
      </c>
      <c r="G285" s="848">
        <v>7.72</v>
      </c>
      <c r="H285" s="848">
        <v>0.21560000000000001</v>
      </c>
      <c r="I285" s="848">
        <v>0.24399999999999999</v>
      </c>
      <c r="J285" s="848">
        <v>0.24399999999999999</v>
      </c>
      <c r="K285" s="848">
        <v>2.7399999999999998E-3</v>
      </c>
      <c r="L285" s="848">
        <v>3</v>
      </c>
      <c r="M285" s="831">
        <v>0.1</v>
      </c>
      <c r="N285" s="831"/>
      <c r="O285" s="842">
        <v>2</v>
      </c>
      <c r="P285" s="831" t="s">
        <v>2262</v>
      </c>
      <c r="Q285" s="831"/>
      <c r="R285" s="832"/>
      <c r="S285" s="872">
        <v>361</v>
      </c>
      <c r="T285" s="841">
        <f>IF(Anal_Input_1&lt;=1,Y285,IF(Anal_Input_1&lt;=2,AC285,IF(Anal_Input_1&lt;=3,AG285,IF(Anal_Input_1&lt;=4,AK285,AO285))))</f>
        <v>0</v>
      </c>
      <c r="U285" s="841">
        <f>IF(Anal_Input_1&lt;=1,Z285,IF(Anal_Input_1&lt;=2,AD285,IF(Anal_Input_1&lt;=3,AH285,IF(Anal_Input_1&lt;=4,AL285,AP285))))</f>
        <v>0</v>
      </c>
      <c r="V285" s="841">
        <f>IF(Anal_Input_1&lt;=1,AA285,IF(Anal_Input_1&lt;=2,AE285,IF(Anal_Input_1&lt;=3,AI285,IF(Anal_Input_1&lt;=4,AM285,AQ285))))</f>
        <v>0</v>
      </c>
      <c r="W285" s="841">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80" t="s">
        <v>2986</v>
      </c>
      <c r="Y285" s="197">
        <v>0</v>
      </c>
      <c r="Z285" s="197">
        <v>0</v>
      </c>
      <c r="AA285" s="197">
        <v>0</v>
      </c>
      <c r="AB285" s="197">
        <v>0.121</v>
      </c>
      <c r="AC285" s="197">
        <v>0</v>
      </c>
      <c r="AD285" s="197">
        <v>0</v>
      </c>
      <c r="AE285" s="197">
        <v>0</v>
      </c>
      <c r="AF285" s="197">
        <v>0.155</v>
      </c>
      <c r="AG285" s="197">
        <v>0</v>
      </c>
      <c r="AH285" s="197">
        <v>0</v>
      </c>
      <c r="AI285" s="197">
        <v>0</v>
      </c>
      <c r="AJ285" s="197">
        <v>0.18099999999999999</v>
      </c>
      <c r="AK285" s="197">
        <v>0</v>
      </c>
      <c r="AL285" s="197">
        <v>0</v>
      </c>
      <c r="AM285" s="197">
        <v>0</v>
      </c>
      <c r="AN285" s="197">
        <v>0.20699999999999999</v>
      </c>
      <c r="AO285" s="197">
        <v>0</v>
      </c>
      <c r="AP285" s="197">
        <v>0</v>
      </c>
      <c r="AQ285" s="197">
        <v>0</v>
      </c>
      <c r="AR285" s="197">
        <v>0.249</v>
      </c>
    </row>
    <row r="286" spans="1:44">
      <c r="A286" s="840">
        <v>10172</v>
      </c>
      <c r="B286" s="841" t="s">
        <v>981</v>
      </c>
      <c r="C286" s="842">
        <v>428</v>
      </c>
      <c r="D286" s="842">
        <v>429</v>
      </c>
      <c r="E286" s="842">
        <v>430</v>
      </c>
      <c r="F286" s="848">
        <v>15.7</v>
      </c>
      <c r="G286" s="848">
        <v>9.8000000000000007</v>
      </c>
      <c r="H286" s="848">
        <v>5.9</v>
      </c>
      <c r="I286" s="848">
        <v>0.63</v>
      </c>
      <c r="J286" s="848">
        <v>0.22</v>
      </c>
      <c r="K286" s="848">
        <v>6.0999999999999999E-2</v>
      </c>
      <c r="L286" s="848">
        <v>6</v>
      </c>
      <c r="M286" s="831">
        <v>0.1</v>
      </c>
      <c r="N286" s="831"/>
      <c r="O286" s="842">
        <v>2</v>
      </c>
      <c r="P286" s="831" t="s">
        <v>981</v>
      </c>
      <c r="Q286" s="831"/>
      <c r="R286" s="832"/>
      <c r="S286" s="872">
        <v>362</v>
      </c>
      <c r="T286" s="841">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841">
        <f t="shared" si="3"/>
        <v>23.762461739999999</v>
      </c>
      <c r="V286" s="841">
        <f t="shared" si="3"/>
        <v>7.4</v>
      </c>
      <c r="W286" s="841">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80" t="s">
        <v>2987</v>
      </c>
      <c r="Y286" s="197">
        <v>136.35384780000001</v>
      </c>
      <c r="Z286" s="197">
        <v>15.051846299999999</v>
      </c>
      <c r="AA286" s="197">
        <v>2.78</v>
      </c>
      <c r="AB286" s="197">
        <v>0.09</v>
      </c>
      <c r="AC286" s="197">
        <v>136.35384780000001</v>
      </c>
      <c r="AD286" s="197">
        <v>19.198923260000001</v>
      </c>
      <c r="AE286" s="197">
        <v>4.2</v>
      </c>
      <c r="AF286" s="197">
        <v>0.11</v>
      </c>
      <c r="AG286" s="197">
        <v>136.35384780000001</v>
      </c>
      <c r="AH286" s="197">
        <v>21.622461739999999</v>
      </c>
      <c r="AI286" s="197">
        <v>5.26</v>
      </c>
      <c r="AJ286" s="197">
        <v>0.123</v>
      </c>
      <c r="AK286" s="197">
        <v>136.35384780000001</v>
      </c>
      <c r="AL286" s="197">
        <v>22.38246174</v>
      </c>
      <c r="AM286" s="197">
        <v>6.02</v>
      </c>
      <c r="AN286" s="197">
        <v>0.13900000000000001</v>
      </c>
      <c r="AO286" s="197">
        <v>136.35384780000001</v>
      </c>
      <c r="AP286" s="197">
        <v>23.762461739999999</v>
      </c>
      <c r="AQ286" s="197">
        <v>7.4</v>
      </c>
      <c r="AR286" s="197">
        <v>0.16200000000000001</v>
      </c>
    </row>
    <row r="287" spans="1:44">
      <c r="A287" s="840">
        <v>10173</v>
      </c>
      <c r="B287" s="841" t="s">
        <v>957</v>
      </c>
      <c r="C287" s="842">
        <v>428</v>
      </c>
      <c r="D287" s="842">
        <v>429</v>
      </c>
      <c r="E287" s="842">
        <v>430</v>
      </c>
      <c r="F287" s="848">
        <v>15.7</v>
      </c>
      <c r="G287" s="848">
        <v>9.8000000000000007</v>
      </c>
      <c r="H287" s="848">
        <v>5.9</v>
      </c>
      <c r="I287" s="848">
        <v>0.63</v>
      </c>
      <c r="J287" s="848">
        <v>0.22</v>
      </c>
      <c r="K287" s="848">
        <v>6.0999999999999999E-2</v>
      </c>
      <c r="L287" s="848">
        <v>6</v>
      </c>
      <c r="M287" s="831">
        <v>0.1</v>
      </c>
      <c r="N287" s="831"/>
      <c r="O287" s="842">
        <v>2</v>
      </c>
      <c r="P287" s="831" t="s">
        <v>957</v>
      </c>
      <c r="Q287" s="831"/>
      <c r="R287" s="832"/>
      <c r="S287" s="872">
        <v>363</v>
      </c>
      <c r="T287" s="841">
        <f t="shared" si="3"/>
        <v>136.35384780000001</v>
      </c>
      <c r="U287" s="841">
        <f t="shared" si="3"/>
        <v>16.362677089999998</v>
      </c>
      <c r="V287" s="841">
        <f t="shared" si="3"/>
        <v>3</v>
      </c>
      <c r="W287" s="841">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80" t="s">
        <v>2988</v>
      </c>
      <c r="Y287" s="197">
        <v>136.35384780000001</v>
      </c>
      <c r="Z287" s="197">
        <v>7.6332154560000003</v>
      </c>
      <c r="AA287" s="197">
        <v>1.77</v>
      </c>
      <c r="AB287" s="197">
        <v>4.2999999999999997E-2</v>
      </c>
      <c r="AC287" s="197">
        <v>136.35384780000001</v>
      </c>
      <c r="AD287" s="197">
        <v>10.10946163</v>
      </c>
      <c r="AE287" s="197">
        <v>2.61</v>
      </c>
      <c r="AF287" s="197">
        <v>5.5E-2</v>
      </c>
      <c r="AG287" s="197">
        <v>136.35384780000001</v>
      </c>
      <c r="AH287" s="197">
        <v>11.726646260000001</v>
      </c>
      <c r="AI287" s="197">
        <v>3</v>
      </c>
      <c r="AJ287" s="197">
        <v>6.4000000000000001E-2</v>
      </c>
      <c r="AK287" s="197">
        <v>136.35384780000001</v>
      </c>
      <c r="AL287" s="197">
        <v>13.63560013</v>
      </c>
      <c r="AM287" s="197">
        <v>3</v>
      </c>
      <c r="AN287" s="197">
        <v>7.8E-2</v>
      </c>
      <c r="AO287" s="197">
        <v>136.35384780000001</v>
      </c>
      <c r="AP287" s="197">
        <v>16.362677089999998</v>
      </c>
      <c r="AQ287" s="197">
        <v>3</v>
      </c>
      <c r="AR287" s="197">
        <v>9.8000000000000004E-2</v>
      </c>
    </row>
    <row r="288" spans="1:44">
      <c r="A288" s="840">
        <v>10174</v>
      </c>
      <c r="B288" s="841" t="s">
        <v>107</v>
      </c>
      <c r="C288" s="842">
        <v>426</v>
      </c>
      <c r="D288" s="842">
        <v>426</v>
      </c>
      <c r="E288" s="842">
        <v>427</v>
      </c>
      <c r="F288" s="848">
        <v>7.72</v>
      </c>
      <c r="G288" s="848">
        <v>7.72</v>
      </c>
      <c r="H288" s="848">
        <v>0.21560000000000001</v>
      </c>
      <c r="I288" s="848">
        <v>0.24399999999999999</v>
      </c>
      <c r="J288" s="848">
        <v>0.24399999999999999</v>
      </c>
      <c r="K288" s="848">
        <v>2.7399999999999998E-3</v>
      </c>
      <c r="L288" s="848">
        <v>3</v>
      </c>
      <c r="M288" s="831">
        <v>0.1</v>
      </c>
      <c r="N288" s="831"/>
      <c r="O288" s="842">
        <v>2</v>
      </c>
      <c r="P288" s="831" t="s">
        <v>107</v>
      </c>
      <c r="Q288" s="831"/>
      <c r="R288" s="832"/>
      <c r="S288" s="872">
        <v>364</v>
      </c>
      <c r="T288" s="841">
        <f t="shared" ref="T288:W290" si="4">IF(Anal_Input_1&lt;=$Y$271,Y273,IF(Anal_Input_1&lt;=$AC$271,Y273+(AC273-Y273)/($AC$271-$Y$271)*(Anal_Input_1-$Y$271),IF(Anal_Input_1&lt;=$AG$271,AC273+(AG273-AC273)/($AG$271-$AC$271)*(Anal_Input_1-$AC$271),IF(Anal_Input_1&lt;=$AK$271,AG273+(AK273-AG273)/($AK$271-$AG$271)*(Anal_Input_1-$AG$271),AK273))))</f>
        <v>40.54</v>
      </c>
      <c r="U288" s="841">
        <f t="shared" si="4"/>
        <v>1.476</v>
      </c>
      <c r="V288" s="841">
        <f t="shared" si="4"/>
        <v>0.99</v>
      </c>
      <c r="W288" s="841">
        <f t="shared" si="4"/>
        <v>1.2E-2</v>
      </c>
    </row>
    <row r="289" spans="1:23">
      <c r="A289" s="840">
        <v>10175</v>
      </c>
      <c r="B289" s="841" t="s">
        <v>279</v>
      </c>
      <c r="C289" s="842">
        <v>431</v>
      </c>
      <c r="D289" s="842">
        <v>431</v>
      </c>
      <c r="E289" s="842">
        <v>432</v>
      </c>
      <c r="F289" s="848">
        <v>7.72</v>
      </c>
      <c r="G289" s="848">
        <v>7.72</v>
      </c>
      <c r="H289" s="848">
        <v>0.21560000000000001</v>
      </c>
      <c r="I289" s="848">
        <v>0.24399999999999999</v>
      </c>
      <c r="J289" s="848">
        <v>0.24399999999999999</v>
      </c>
      <c r="K289" s="848">
        <v>2.7399999999999998E-3</v>
      </c>
      <c r="L289" s="848">
        <v>3</v>
      </c>
      <c r="M289" s="831">
        <v>0.1</v>
      </c>
      <c r="N289" s="831"/>
      <c r="O289" s="842">
        <v>2</v>
      </c>
      <c r="P289" s="831" t="s">
        <v>279</v>
      </c>
      <c r="Q289" s="831"/>
      <c r="R289" s="832"/>
      <c r="S289" s="872">
        <v>365</v>
      </c>
      <c r="T289" s="841">
        <f t="shared" si="4"/>
        <v>40.54</v>
      </c>
      <c r="U289" s="841">
        <f t="shared" si="4"/>
        <v>1.155</v>
      </c>
      <c r="V289" s="841">
        <f t="shared" si="4"/>
        <v>0.79</v>
      </c>
      <c r="W289" s="841">
        <f t="shared" si="4"/>
        <v>8.9999999999999993E-3</v>
      </c>
    </row>
    <row r="290" spans="1:23">
      <c r="A290" s="840">
        <v>10176</v>
      </c>
      <c r="B290" s="841" t="s">
        <v>810</v>
      </c>
      <c r="C290" s="842">
        <v>433</v>
      </c>
      <c r="D290" s="842">
        <v>434</v>
      </c>
      <c r="E290" s="842">
        <v>435</v>
      </c>
      <c r="F290" s="848">
        <v>15.7</v>
      </c>
      <c r="G290" s="848">
        <v>10.1</v>
      </c>
      <c r="H290" s="848">
        <v>5.9</v>
      </c>
      <c r="I290" s="848">
        <v>0.63</v>
      </c>
      <c r="J290" s="848">
        <v>0.38</v>
      </c>
      <c r="K290" s="848">
        <v>6.0999999999999999E-2</v>
      </c>
      <c r="L290" s="848">
        <v>7</v>
      </c>
      <c r="M290" s="831">
        <v>0.1</v>
      </c>
      <c r="N290" s="831"/>
      <c r="O290" s="842">
        <v>2</v>
      </c>
      <c r="P290" s="831" t="s">
        <v>810</v>
      </c>
      <c r="Q290" s="831"/>
      <c r="R290" s="832"/>
      <c r="S290" s="872">
        <v>366</v>
      </c>
      <c r="T290" s="841">
        <f t="shared" si="4"/>
        <v>40.54</v>
      </c>
      <c r="U290" s="841">
        <f t="shared" si="4"/>
        <v>0.442</v>
      </c>
      <c r="V290" s="841">
        <f t="shared" si="4"/>
        <v>0.32</v>
      </c>
      <c r="W290" s="841">
        <f t="shared" si="4"/>
        <v>3.0000000000000001E-3</v>
      </c>
    </row>
    <row r="291" spans="1:23">
      <c r="A291" s="840">
        <v>10177</v>
      </c>
      <c r="B291" s="841" t="s">
        <v>2802</v>
      </c>
      <c r="C291" s="842">
        <v>433</v>
      </c>
      <c r="D291" s="842">
        <v>434</v>
      </c>
      <c r="E291" s="842">
        <v>435</v>
      </c>
      <c r="F291" s="848">
        <v>15.7</v>
      </c>
      <c r="G291" s="848">
        <v>10.1</v>
      </c>
      <c r="H291" s="848">
        <v>5.9</v>
      </c>
      <c r="I291" s="848">
        <v>0.63</v>
      </c>
      <c r="J291" s="848">
        <v>0.38</v>
      </c>
      <c r="K291" s="848">
        <v>6.0999999999999999E-2</v>
      </c>
      <c r="L291" s="848">
        <v>7</v>
      </c>
      <c r="M291" s="831">
        <v>0.1</v>
      </c>
      <c r="N291" s="831"/>
      <c r="O291" s="842">
        <v>2</v>
      </c>
      <c r="P291" s="831" t="s">
        <v>2802</v>
      </c>
      <c r="Q291" s="831"/>
      <c r="R291" s="832"/>
      <c r="S291" s="872">
        <v>367</v>
      </c>
      <c r="T291" s="841">
        <v>5.9341189999999999</v>
      </c>
      <c r="U291" s="841">
        <v>1028.2449999999999</v>
      </c>
      <c r="V291" s="841">
        <v>690</v>
      </c>
      <c r="W291" s="841">
        <v>94.418049999999994</v>
      </c>
    </row>
    <row r="292" spans="1:23">
      <c r="A292" s="840">
        <v>10178</v>
      </c>
      <c r="B292" s="841" t="s">
        <v>3569</v>
      </c>
      <c r="C292" s="842">
        <v>436</v>
      </c>
      <c r="D292" s="842">
        <v>436</v>
      </c>
      <c r="E292" s="842">
        <v>437</v>
      </c>
      <c r="F292" s="848">
        <v>7.72</v>
      </c>
      <c r="G292" s="848">
        <v>7.72</v>
      </c>
      <c r="H292" s="848">
        <v>0.21560000000000001</v>
      </c>
      <c r="I292" s="848">
        <v>0.24399999999999999</v>
      </c>
      <c r="J292" s="848">
        <v>0.24399999999999999</v>
      </c>
      <c r="K292" s="848">
        <v>2.7399999999999998E-3</v>
      </c>
      <c r="L292" s="848">
        <v>3</v>
      </c>
      <c r="M292" s="831">
        <v>0.1</v>
      </c>
      <c r="N292" s="831"/>
      <c r="O292" s="842">
        <v>2</v>
      </c>
      <c r="P292" s="831" t="s">
        <v>3569</v>
      </c>
      <c r="Q292" s="831"/>
      <c r="R292" s="832"/>
      <c r="S292" s="872">
        <v>368</v>
      </c>
      <c r="T292" s="841">
        <v>5.9341189999999999</v>
      </c>
      <c r="U292" s="841">
        <v>1028.2449999999999</v>
      </c>
      <c r="V292" s="841">
        <v>690</v>
      </c>
      <c r="W292" s="841">
        <v>114.4046</v>
      </c>
    </row>
    <row r="293" spans="1:23">
      <c r="A293" s="840">
        <v>10179</v>
      </c>
      <c r="B293" s="841" t="s">
        <v>2910</v>
      </c>
      <c r="C293" s="842">
        <v>438</v>
      </c>
      <c r="D293" s="842">
        <v>438</v>
      </c>
      <c r="E293" s="842">
        <v>439</v>
      </c>
      <c r="F293" s="848">
        <v>22</v>
      </c>
      <c r="G293" s="848">
        <v>22</v>
      </c>
      <c r="H293" s="848">
        <v>9.8000000000000007</v>
      </c>
      <c r="I293" s="848">
        <v>0.65</v>
      </c>
      <c r="J293" s="848">
        <v>0.65</v>
      </c>
      <c r="K293" s="848">
        <v>0.17</v>
      </c>
      <c r="L293" s="848">
        <v>12</v>
      </c>
      <c r="M293" s="831">
        <v>0.1</v>
      </c>
      <c r="N293" s="831"/>
      <c r="O293" s="842">
        <v>2</v>
      </c>
      <c r="P293" s="831" t="s">
        <v>2910</v>
      </c>
      <c r="Q293" s="831"/>
      <c r="R293" s="832"/>
      <c r="S293" s="872">
        <v>369</v>
      </c>
      <c r="T293" s="841">
        <v>8.7266460000000006</v>
      </c>
      <c r="U293" s="841">
        <v>539.2527</v>
      </c>
      <c r="V293" s="841">
        <v>260</v>
      </c>
      <c r="W293" s="841">
        <v>59.14228</v>
      </c>
    </row>
    <row r="294" spans="1:23">
      <c r="A294" s="840">
        <v>10180</v>
      </c>
      <c r="B294" s="841" t="s">
        <v>57</v>
      </c>
      <c r="C294" s="842">
        <v>438</v>
      </c>
      <c r="D294" s="842">
        <v>438</v>
      </c>
      <c r="E294" s="842">
        <v>439</v>
      </c>
      <c r="F294" s="848">
        <v>22</v>
      </c>
      <c r="G294" s="848">
        <v>22</v>
      </c>
      <c r="H294" s="848">
        <v>9.8000000000000007</v>
      </c>
      <c r="I294" s="848">
        <v>0.65</v>
      </c>
      <c r="J294" s="848">
        <v>0.65</v>
      </c>
      <c r="K294" s="848">
        <v>0.17</v>
      </c>
      <c r="L294" s="848">
        <v>12</v>
      </c>
      <c r="M294" s="831">
        <v>0.1</v>
      </c>
      <c r="N294" s="831"/>
      <c r="O294" s="842">
        <v>2</v>
      </c>
      <c r="P294" s="831" t="s">
        <v>57</v>
      </c>
      <c r="Q294" s="831"/>
      <c r="R294" s="832"/>
      <c r="S294" s="872">
        <v>370</v>
      </c>
      <c r="T294" s="841">
        <v>27.10549</v>
      </c>
      <c r="U294" s="841">
        <v>39.076459999999997</v>
      </c>
      <c r="V294" s="841">
        <v>22</v>
      </c>
      <c r="W294" s="841">
        <v>0.63</v>
      </c>
    </row>
    <row r="295" spans="1:23">
      <c r="A295" s="840">
        <v>10181</v>
      </c>
      <c r="B295" s="841" t="s">
        <v>2221</v>
      </c>
      <c r="C295" s="842">
        <v>440</v>
      </c>
      <c r="D295" s="842">
        <v>440</v>
      </c>
      <c r="E295" s="842">
        <v>441</v>
      </c>
      <c r="F295" s="848">
        <v>7.72</v>
      </c>
      <c r="G295" s="848">
        <v>7.72</v>
      </c>
      <c r="H295" s="848">
        <v>0.21560000000000001</v>
      </c>
      <c r="I295" s="848">
        <v>0.24399999999999999</v>
      </c>
      <c r="J295" s="848">
        <v>0.24399999999999999</v>
      </c>
      <c r="K295" s="848">
        <v>2.7399999999999998E-3</v>
      </c>
      <c r="L295" s="848">
        <v>3</v>
      </c>
      <c r="M295" s="831">
        <v>0.1</v>
      </c>
      <c r="N295" s="831"/>
      <c r="O295" s="842">
        <v>2</v>
      </c>
      <c r="P295" s="831" t="s">
        <v>2221</v>
      </c>
      <c r="Q295" s="831"/>
      <c r="R295" s="832"/>
      <c r="S295" s="872">
        <v>371</v>
      </c>
      <c r="T295" s="841">
        <v>40.327680000000001</v>
      </c>
      <c r="U295" s="841">
        <v>15.849159999999999</v>
      </c>
      <c r="V295" s="841">
        <v>9.8000000000000007</v>
      </c>
      <c r="W295" s="841">
        <v>0.15</v>
      </c>
    </row>
    <row r="296" spans="1:23">
      <c r="A296" s="840">
        <v>10182</v>
      </c>
      <c r="B296" s="841" t="s">
        <v>407</v>
      </c>
      <c r="C296" s="842">
        <v>442</v>
      </c>
      <c r="D296" s="842">
        <v>442</v>
      </c>
      <c r="E296" s="842">
        <v>443</v>
      </c>
      <c r="F296" s="848">
        <v>7.72</v>
      </c>
      <c r="G296" s="848">
        <v>7.72</v>
      </c>
      <c r="H296" s="848">
        <v>0.22</v>
      </c>
      <c r="I296" s="848">
        <v>0.24399999999999999</v>
      </c>
      <c r="J296" s="848">
        <v>0.24399999999999999</v>
      </c>
      <c r="K296" s="848">
        <v>2.7399999999999998E-3</v>
      </c>
      <c r="L296" s="848">
        <v>3</v>
      </c>
      <c r="M296" s="831">
        <v>0.1</v>
      </c>
      <c r="N296" s="831"/>
      <c r="O296" s="842">
        <v>2</v>
      </c>
      <c r="P296" s="831" t="s">
        <v>407</v>
      </c>
      <c r="Q296" s="831"/>
      <c r="R296" s="832"/>
      <c r="S296" s="872">
        <v>372</v>
      </c>
      <c r="T296" s="841">
        <v>4.18</v>
      </c>
      <c r="U296" s="841">
        <v>1923.92</v>
      </c>
      <c r="V296" s="841">
        <v>1333</v>
      </c>
      <c r="W296" s="841">
        <v>220.75</v>
      </c>
    </row>
    <row r="297" spans="1:23">
      <c r="A297" s="840">
        <v>10183</v>
      </c>
      <c r="B297" s="841" t="s">
        <v>2307</v>
      </c>
      <c r="C297" s="842">
        <v>426</v>
      </c>
      <c r="D297" s="842">
        <v>426</v>
      </c>
      <c r="E297" s="842">
        <v>444</v>
      </c>
      <c r="F297" s="848">
        <v>7.72</v>
      </c>
      <c r="G297" s="848">
        <v>7.72</v>
      </c>
      <c r="H297" s="848">
        <v>0.22</v>
      </c>
      <c r="I297" s="848">
        <v>0.24399999999999999</v>
      </c>
      <c r="J297" s="848">
        <v>0.24399999999999999</v>
      </c>
      <c r="K297" s="848">
        <v>2.7399999999999998E-3</v>
      </c>
      <c r="L297" s="848">
        <v>3</v>
      </c>
      <c r="M297" s="831">
        <v>0.1</v>
      </c>
      <c r="N297" s="831"/>
      <c r="O297" s="842">
        <v>2</v>
      </c>
      <c r="P297" s="831" t="s">
        <v>2307</v>
      </c>
      <c r="Q297" s="831"/>
      <c r="R297" s="832"/>
      <c r="S297" s="872">
        <v>373</v>
      </c>
      <c r="T297" s="841">
        <v>3.48</v>
      </c>
      <c r="U297" s="841">
        <v>1825.4</v>
      </c>
      <c r="V297" s="841">
        <v>1333</v>
      </c>
      <c r="W297" s="841">
        <v>179.24</v>
      </c>
    </row>
    <row r="298" spans="1:23">
      <c r="A298" s="840">
        <v>10184</v>
      </c>
      <c r="B298" s="841" t="s">
        <v>9</v>
      </c>
      <c r="C298" s="842">
        <v>442</v>
      </c>
      <c r="D298" s="842">
        <v>442</v>
      </c>
      <c r="E298" s="842">
        <v>443</v>
      </c>
      <c r="F298" s="848">
        <v>7.72</v>
      </c>
      <c r="G298" s="848">
        <v>7.72</v>
      </c>
      <c r="H298" s="848">
        <v>0.22</v>
      </c>
      <c r="I298" s="848">
        <v>0.24399999999999999</v>
      </c>
      <c r="J298" s="848">
        <v>0.24399999999999999</v>
      </c>
      <c r="K298" s="848">
        <v>2.7399999999999998E-3</v>
      </c>
      <c r="L298" s="848">
        <v>3</v>
      </c>
      <c r="M298" s="831">
        <v>0.1</v>
      </c>
      <c r="N298" s="831"/>
      <c r="O298" s="842">
        <v>2</v>
      </c>
      <c r="P298" s="831" t="s">
        <v>9</v>
      </c>
      <c r="Q298" s="831"/>
      <c r="R298" s="832"/>
      <c r="S298" s="872">
        <v>374</v>
      </c>
      <c r="T298" s="841">
        <v>2.75</v>
      </c>
      <c r="U298" s="841">
        <v>922.25</v>
      </c>
      <c r="V298" s="841">
        <v>706</v>
      </c>
      <c r="W298" s="841">
        <v>78.400000000000006</v>
      </c>
    </row>
    <row r="299" spans="1:23">
      <c r="A299" s="840">
        <v>10185</v>
      </c>
      <c r="B299" s="841" t="s">
        <v>2915</v>
      </c>
      <c r="C299" s="842">
        <v>445</v>
      </c>
      <c r="D299" s="842">
        <v>446</v>
      </c>
      <c r="E299" s="842">
        <v>447</v>
      </c>
      <c r="F299" s="848">
        <v>22</v>
      </c>
      <c r="G299" s="848">
        <v>22</v>
      </c>
      <c r="H299" s="848">
        <v>9.8000000000000007</v>
      </c>
      <c r="I299" s="848">
        <v>0.65</v>
      </c>
      <c r="J299" s="848">
        <v>0.65</v>
      </c>
      <c r="K299" s="848">
        <v>0.17</v>
      </c>
      <c r="L299" s="848">
        <v>12</v>
      </c>
      <c r="M299" s="831">
        <v>0.1</v>
      </c>
      <c r="N299" s="831"/>
      <c r="O299" s="842">
        <v>2</v>
      </c>
      <c r="P299" s="831" t="s">
        <v>2915</v>
      </c>
      <c r="Q299" s="831"/>
      <c r="R299" s="832"/>
      <c r="S299" s="872">
        <v>375</v>
      </c>
      <c r="T299" s="841">
        <v>10.62</v>
      </c>
      <c r="U299" s="841">
        <v>217</v>
      </c>
      <c r="V299" s="841">
        <v>150</v>
      </c>
      <c r="W299" s="841">
        <v>20.399999999999999</v>
      </c>
    </row>
    <row r="300" spans="1:23">
      <c r="A300" s="840">
        <v>10186</v>
      </c>
      <c r="B300" s="841" t="s">
        <v>3226</v>
      </c>
      <c r="C300" s="842">
        <v>445</v>
      </c>
      <c r="D300" s="842">
        <v>446</v>
      </c>
      <c r="E300" s="842">
        <v>447</v>
      </c>
      <c r="F300" s="848">
        <v>22</v>
      </c>
      <c r="G300" s="848">
        <v>22</v>
      </c>
      <c r="H300" s="848">
        <v>9.8000000000000007</v>
      </c>
      <c r="I300" s="848">
        <v>0.65</v>
      </c>
      <c r="J300" s="848">
        <v>0.65</v>
      </c>
      <c r="K300" s="848">
        <v>0.17</v>
      </c>
      <c r="L300" s="848">
        <v>12</v>
      </c>
      <c r="M300" s="831">
        <v>0.1</v>
      </c>
      <c r="N300" s="831"/>
      <c r="O300" s="842">
        <v>2</v>
      </c>
      <c r="P300" s="831" t="s">
        <v>3226</v>
      </c>
      <c r="Q300" s="831"/>
      <c r="R300" s="832"/>
      <c r="S300" s="872">
        <v>376</v>
      </c>
      <c r="T300" s="841">
        <v>43.6</v>
      </c>
      <c r="U300" s="841">
        <v>177</v>
      </c>
      <c r="V300" s="841">
        <v>68</v>
      </c>
      <c r="W300" s="841">
        <v>3.14</v>
      </c>
    </row>
    <row r="301" spans="1:23">
      <c r="A301" s="840">
        <v>10187</v>
      </c>
      <c r="B301" s="841" t="s">
        <v>3358</v>
      </c>
      <c r="C301" s="842">
        <v>448</v>
      </c>
      <c r="D301" s="842">
        <v>449</v>
      </c>
      <c r="E301" s="842">
        <v>450</v>
      </c>
      <c r="F301" s="848">
        <v>7.72</v>
      </c>
      <c r="G301" s="848">
        <v>7.72</v>
      </c>
      <c r="H301" s="848">
        <v>0.22</v>
      </c>
      <c r="I301" s="848">
        <v>0.24399999999999999</v>
      </c>
      <c r="J301" s="848">
        <v>0.24399999999999999</v>
      </c>
      <c r="K301" s="848">
        <v>2.7399999999999998E-3</v>
      </c>
      <c r="L301" s="848">
        <v>3</v>
      </c>
      <c r="M301" s="831">
        <v>0.1</v>
      </c>
      <c r="N301" s="831"/>
      <c r="O301" s="842">
        <v>2</v>
      </c>
      <c r="P301" s="831" t="s">
        <v>3358</v>
      </c>
      <c r="Q301" s="831"/>
      <c r="R301" s="832"/>
      <c r="S301" s="872">
        <v>377</v>
      </c>
      <c r="T301" s="841">
        <v>1.6659999999999999</v>
      </c>
      <c r="U301" s="841">
        <v>5230.05</v>
      </c>
      <c r="V301" s="841">
        <v>3400</v>
      </c>
      <c r="W301" s="841">
        <v>1812.66</v>
      </c>
    </row>
    <row r="302" spans="1:23">
      <c r="A302" s="840">
        <v>10188</v>
      </c>
      <c r="B302" s="841" t="s">
        <v>3391</v>
      </c>
      <c r="C302" s="842">
        <v>451</v>
      </c>
      <c r="D302" s="842">
        <v>452</v>
      </c>
      <c r="E302" s="842">
        <v>453</v>
      </c>
      <c r="F302" s="848">
        <v>710</v>
      </c>
      <c r="G302" s="848">
        <v>710</v>
      </c>
      <c r="H302" s="848">
        <v>355</v>
      </c>
      <c r="I302" s="848">
        <v>72</v>
      </c>
      <c r="J302" s="848">
        <v>72</v>
      </c>
      <c r="K302" s="848">
        <v>40</v>
      </c>
      <c r="L302" s="848">
        <v>125</v>
      </c>
      <c r="M302" s="831">
        <v>0.215</v>
      </c>
      <c r="N302" s="831"/>
      <c r="O302" s="842">
        <v>1</v>
      </c>
      <c r="P302" s="831" t="s">
        <v>3391</v>
      </c>
      <c r="Q302" s="831"/>
      <c r="R302" s="832"/>
      <c r="S302" s="872">
        <v>378</v>
      </c>
      <c r="T302" s="841">
        <v>1.6419999999999999</v>
      </c>
      <c r="U302" s="841">
        <v>5203.7</v>
      </c>
      <c r="V302" s="841">
        <v>3400</v>
      </c>
      <c r="W302" s="841">
        <v>1891.7</v>
      </c>
    </row>
    <row r="303" spans="1:23">
      <c r="A303" s="840">
        <v>10189</v>
      </c>
      <c r="B303" s="841" t="s">
        <v>3392</v>
      </c>
      <c r="C303" s="842">
        <v>451</v>
      </c>
      <c r="D303" s="842">
        <v>452</v>
      </c>
      <c r="E303" s="842">
        <v>453</v>
      </c>
      <c r="F303" s="848">
        <v>710</v>
      </c>
      <c r="G303" s="848">
        <v>710</v>
      </c>
      <c r="H303" s="848">
        <v>355</v>
      </c>
      <c r="I303" s="848">
        <v>72</v>
      </c>
      <c r="J303" s="848">
        <v>72</v>
      </c>
      <c r="K303" s="848">
        <v>40</v>
      </c>
      <c r="L303" s="848">
        <v>125</v>
      </c>
      <c r="M303" s="831">
        <v>0.23799999999999999</v>
      </c>
      <c r="N303" s="831"/>
      <c r="O303" s="842">
        <v>1</v>
      </c>
      <c r="P303" s="831" t="s">
        <v>3391</v>
      </c>
      <c r="Q303" s="831" t="s">
        <v>872</v>
      </c>
      <c r="R303" s="832"/>
      <c r="S303" s="872">
        <v>379</v>
      </c>
      <c r="T303" s="841">
        <v>17.641999999999999</v>
      </c>
      <c r="U303" s="841">
        <v>13.84</v>
      </c>
      <c r="V303" s="841">
        <v>8.9</v>
      </c>
      <c r="W303" s="841">
        <v>0.28000000000000003</v>
      </c>
    </row>
    <row r="304" spans="1:23">
      <c r="A304" s="840">
        <v>10190</v>
      </c>
      <c r="B304" s="841" t="s">
        <v>1925</v>
      </c>
      <c r="C304" s="842">
        <v>454</v>
      </c>
      <c r="D304" s="842">
        <v>455</v>
      </c>
      <c r="E304" s="842">
        <v>456</v>
      </c>
      <c r="F304" s="848">
        <v>2035.46</v>
      </c>
      <c r="G304" s="848">
        <v>2035.46</v>
      </c>
      <c r="H304" s="848">
        <v>715.4</v>
      </c>
      <c r="I304" s="848">
        <v>257.81619999999998</v>
      </c>
      <c r="J304" s="848">
        <v>257.81619999999998</v>
      </c>
      <c r="K304" s="848">
        <v>117.6</v>
      </c>
      <c r="L304" s="848">
        <v>260</v>
      </c>
      <c r="M304" s="831">
        <v>0.41499999999999998</v>
      </c>
      <c r="N304" s="831"/>
      <c r="O304" s="842">
        <v>3</v>
      </c>
      <c r="P304" s="831" t="s">
        <v>1925</v>
      </c>
      <c r="Q304" s="831"/>
      <c r="R304" s="832"/>
      <c r="S304" s="872">
        <v>380</v>
      </c>
      <c r="T304" s="841">
        <v>22.027999999999999</v>
      </c>
      <c r="U304" s="841">
        <v>3.7709999999999999</v>
      </c>
      <c r="V304" s="841">
        <v>3</v>
      </c>
      <c r="W304" s="841">
        <v>3.5000000000000003E-2</v>
      </c>
    </row>
    <row r="305" spans="1:23">
      <c r="A305" s="840">
        <v>10191</v>
      </c>
      <c r="B305" s="841" t="s">
        <v>402</v>
      </c>
      <c r="C305" s="842">
        <v>457</v>
      </c>
      <c r="D305" s="842">
        <v>458</v>
      </c>
      <c r="E305" s="842">
        <v>459</v>
      </c>
      <c r="F305" s="848">
        <v>1700</v>
      </c>
      <c r="G305" s="848">
        <v>1700</v>
      </c>
      <c r="H305" s="848">
        <v>950</v>
      </c>
      <c r="I305" s="848">
        <v>215</v>
      </c>
      <c r="J305" s="848">
        <v>215</v>
      </c>
      <c r="K305" s="848">
        <v>140</v>
      </c>
      <c r="L305" s="848">
        <v>280</v>
      </c>
      <c r="M305" s="831">
        <v>0.26</v>
      </c>
      <c r="N305" s="831"/>
      <c r="O305" s="842">
        <v>1</v>
      </c>
      <c r="P305" s="831" t="s">
        <v>402</v>
      </c>
      <c r="Q305" s="831"/>
      <c r="R305" s="832"/>
      <c r="S305" s="872">
        <v>381</v>
      </c>
      <c r="T305" s="841">
        <v>23.251899999999999</v>
      </c>
      <c r="U305" s="841">
        <v>91.836399999999998</v>
      </c>
      <c r="V305" s="841">
        <v>45.1</v>
      </c>
      <c r="W305" s="841">
        <v>2.0099999999999998</v>
      </c>
    </row>
    <row r="306" spans="1:23">
      <c r="A306" s="840">
        <v>10192</v>
      </c>
      <c r="B306" s="841" t="s">
        <v>403</v>
      </c>
      <c r="C306" s="842">
        <v>457</v>
      </c>
      <c r="D306" s="842">
        <v>458</v>
      </c>
      <c r="E306" s="842">
        <v>459</v>
      </c>
      <c r="F306" s="848">
        <v>1700</v>
      </c>
      <c r="G306" s="848">
        <v>1700</v>
      </c>
      <c r="H306" s="848">
        <v>950</v>
      </c>
      <c r="I306" s="848">
        <v>215</v>
      </c>
      <c r="J306" s="848">
        <v>215</v>
      </c>
      <c r="K306" s="848">
        <v>140</v>
      </c>
      <c r="L306" s="848">
        <v>280</v>
      </c>
      <c r="M306" s="831">
        <v>0.27</v>
      </c>
      <c r="N306" s="831"/>
      <c r="O306" s="842">
        <v>1</v>
      </c>
      <c r="P306" s="831" t="s">
        <v>402</v>
      </c>
      <c r="Q306" s="831" t="s">
        <v>872</v>
      </c>
      <c r="R306" s="832"/>
      <c r="S306" s="872">
        <v>382</v>
      </c>
      <c r="T306" s="841">
        <v>18.799420000000001</v>
      </c>
      <c r="U306" s="841">
        <v>82.886840000000007</v>
      </c>
      <c r="V306" s="841">
        <v>45.1</v>
      </c>
      <c r="W306" s="841">
        <v>2.0099999999999998</v>
      </c>
    </row>
    <row r="307" spans="1:23">
      <c r="A307" s="840">
        <v>10193</v>
      </c>
      <c r="B307" s="841" t="s">
        <v>1554</v>
      </c>
      <c r="C307" s="842">
        <v>460</v>
      </c>
      <c r="D307" s="842">
        <v>461</v>
      </c>
      <c r="E307" s="842">
        <v>462</v>
      </c>
      <c r="F307" s="848">
        <v>1700</v>
      </c>
      <c r="G307" s="848">
        <v>1700</v>
      </c>
      <c r="H307" s="848">
        <v>950</v>
      </c>
      <c r="I307" s="848">
        <v>340</v>
      </c>
      <c r="J307" s="848">
        <v>340</v>
      </c>
      <c r="K307" s="848">
        <v>260</v>
      </c>
      <c r="L307" s="848">
        <v>280</v>
      </c>
      <c r="M307" s="831">
        <v>0.26</v>
      </c>
      <c r="N307" s="831"/>
      <c r="O307" s="842">
        <v>1</v>
      </c>
      <c r="P307" s="831" t="s">
        <v>1554</v>
      </c>
      <c r="Q307" s="831"/>
      <c r="R307" s="832"/>
      <c r="S307" s="872">
        <v>383</v>
      </c>
      <c r="T307" s="841">
        <v>30.493680000000001</v>
      </c>
      <c r="U307" s="841">
        <v>60.79862</v>
      </c>
      <c r="V307" s="841">
        <v>30</v>
      </c>
      <c r="W307" s="841">
        <v>1.01</v>
      </c>
    </row>
    <row r="308" spans="1:23">
      <c r="A308" s="840">
        <v>10194</v>
      </c>
      <c r="B308" s="841" t="s">
        <v>2149</v>
      </c>
      <c r="C308" s="842">
        <v>460</v>
      </c>
      <c r="D308" s="842">
        <v>461</v>
      </c>
      <c r="E308" s="842">
        <v>462</v>
      </c>
      <c r="F308" s="848">
        <v>1700</v>
      </c>
      <c r="G308" s="848">
        <v>1700</v>
      </c>
      <c r="H308" s="848">
        <v>950</v>
      </c>
      <c r="I308" s="848">
        <v>340</v>
      </c>
      <c r="J308" s="848">
        <v>340</v>
      </c>
      <c r="K308" s="848">
        <v>260</v>
      </c>
      <c r="L308" s="848">
        <v>280</v>
      </c>
      <c r="M308" s="831">
        <v>0.27</v>
      </c>
      <c r="N308" s="831"/>
      <c r="O308" s="842">
        <v>1</v>
      </c>
      <c r="P308" s="831" t="s">
        <v>1554</v>
      </c>
      <c r="Q308" s="831" t="s">
        <v>872</v>
      </c>
      <c r="R308" s="832"/>
      <c r="S308" s="872">
        <v>384</v>
      </c>
      <c r="T308" s="841">
        <v>35.29</v>
      </c>
      <c r="U308" s="841">
        <v>33.19</v>
      </c>
      <c r="V308" s="841">
        <v>16.600000000000001</v>
      </c>
      <c r="W308" s="841">
        <v>0.47</v>
      </c>
    </row>
    <row r="309" spans="1:23">
      <c r="A309" s="840">
        <v>10195</v>
      </c>
      <c r="B309" s="841" t="s">
        <v>50</v>
      </c>
      <c r="C309" s="842">
        <v>428</v>
      </c>
      <c r="D309" s="842">
        <v>429</v>
      </c>
      <c r="E309" s="842">
        <v>430</v>
      </c>
      <c r="F309" s="848">
        <v>15.7</v>
      </c>
      <c r="G309" s="848">
        <v>9.8000000000000007</v>
      </c>
      <c r="H309" s="848">
        <v>5.9</v>
      </c>
      <c r="I309" s="848">
        <v>0.63</v>
      </c>
      <c r="J309" s="848">
        <v>0.22</v>
      </c>
      <c r="K309" s="848">
        <v>6.0999999999999999E-2</v>
      </c>
      <c r="L309" s="848">
        <v>6</v>
      </c>
      <c r="M309" s="831">
        <v>0.1</v>
      </c>
      <c r="N309" s="831"/>
      <c r="O309" s="842">
        <v>2</v>
      </c>
      <c r="P309" s="831" t="s">
        <v>50</v>
      </c>
      <c r="Q309" s="831"/>
      <c r="R309" s="832"/>
      <c r="S309" s="872">
        <v>385</v>
      </c>
      <c r="T309" s="841">
        <v>21.42</v>
      </c>
      <c r="U309" s="841">
        <v>26.68</v>
      </c>
      <c r="V309" s="841">
        <v>16.600000000000001</v>
      </c>
      <c r="W309" s="841">
        <v>0.47</v>
      </c>
    </row>
    <row r="310" spans="1:23">
      <c r="A310" s="840">
        <v>10196</v>
      </c>
      <c r="B310" s="841" t="s">
        <v>1684</v>
      </c>
      <c r="C310" s="842">
        <v>428</v>
      </c>
      <c r="D310" s="842">
        <v>429</v>
      </c>
      <c r="E310" s="842">
        <v>430</v>
      </c>
      <c r="F310" s="848">
        <v>15.7</v>
      </c>
      <c r="G310" s="848">
        <v>9.8000000000000007</v>
      </c>
      <c r="H310" s="848">
        <v>5.9</v>
      </c>
      <c r="I310" s="848">
        <v>0.63</v>
      </c>
      <c r="J310" s="848">
        <v>0.22</v>
      </c>
      <c r="K310" s="848">
        <v>6.0999999999999999E-2</v>
      </c>
      <c r="L310" s="848">
        <v>6</v>
      </c>
      <c r="M310" s="831">
        <v>0.1</v>
      </c>
      <c r="N310" s="831"/>
      <c r="O310" s="842">
        <v>2</v>
      </c>
      <c r="P310" s="831" t="s">
        <v>1684</v>
      </c>
      <c r="Q310" s="831"/>
      <c r="R310" s="832"/>
      <c r="S310" s="872">
        <v>386</v>
      </c>
      <c r="T310" s="841">
        <v>31.16</v>
      </c>
      <c r="U310" s="841">
        <v>14.08</v>
      </c>
      <c r="V310" s="841">
        <v>9.4</v>
      </c>
      <c r="W310" s="841">
        <v>0.15</v>
      </c>
    </row>
    <row r="311" spans="1:23">
      <c r="A311" s="840">
        <v>10197</v>
      </c>
      <c r="B311" s="841" t="s">
        <v>3642</v>
      </c>
      <c r="C311" s="842">
        <v>426</v>
      </c>
      <c r="D311" s="842">
        <v>426</v>
      </c>
      <c r="E311" s="842">
        <v>427</v>
      </c>
      <c r="F311" s="848">
        <v>7.72</v>
      </c>
      <c r="G311" s="848">
        <v>7.72</v>
      </c>
      <c r="H311" s="848">
        <v>0.21560000000000001</v>
      </c>
      <c r="I311" s="848">
        <v>0.24399999999999999</v>
      </c>
      <c r="J311" s="848">
        <v>0.24399999999999999</v>
      </c>
      <c r="K311" s="848">
        <v>2.7399999999999998E-3</v>
      </c>
      <c r="L311" s="848">
        <v>3</v>
      </c>
      <c r="M311" s="831">
        <v>0.1</v>
      </c>
      <c r="N311" s="831"/>
      <c r="O311" s="842">
        <v>2</v>
      </c>
      <c r="P311" s="831" t="s">
        <v>3642</v>
      </c>
      <c r="Q311" s="831"/>
      <c r="R311" s="832"/>
      <c r="S311" s="872">
        <v>387</v>
      </c>
      <c r="T311" s="841">
        <v>35.93</v>
      </c>
      <c r="U311" s="841">
        <v>16.05</v>
      </c>
      <c r="V311" s="841">
        <v>8.86</v>
      </c>
      <c r="W311" s="841">
        <v>0.2</v>
      </c>
    </row>
    <row r="312" spans="1:23">
      <c r="A312" s="840">
        <v>10198</v>
      </c>
      <c r="B312" s="841" t="s">
        <v>2255</v>
      </c>
      <c r="C312" s="842">
        <v>426</v>
      </c>
      <c r="D312" s="842">
        <v>426</v>
      </c>
      <c r="E312" s="842">
        <v>427</v>
      </c>
      <c r="F312" s="848">
        <v>7.72</v>
      </c>
      <c r="G312" s="848">
        <v>7.72</v>
      </c>
      <c r="H312" s="848">
        <v>0.21560000000000001</v>
      </c>
      <c r="I312" s="848">
        <v>0.24399999999999999</v>
      </c>
      <c r="J312" s="848">
        <v>0.24399999999999999</v>
      </c>
      <c r="K312" s="848">
        <v>2.7399999999999998E-3</v>
      </c>
      <c r="L312" s="848">
        <v>3</v>
      </c>
      <c r="M312" s="831">
        <v>0.1</v>
      </c>
      <c r="N312" s="831"/>
      <c r="O312" s="842">
        <v>2</v>
      </c>
      <c r="P312" s="831" t="s">
        <v>2255</v>
      </c>
      <c r="Q312" s="831"/>
      <c r="R312" s="832"/>
      <c r="S312" s="872">
        <v>388</v>
      </c>
      <c r="T312" s="841">
        <v>21.81</v>
      </c>
      <c r="U312" s="841">
        <v>13.23</v>
      </c>
      <c r="V312" s="841">
        <v>8.86</v>
      </c>
      <c r="W312" s="841">
        <v>0.2</v>
      </c>
    </row>
    <row r="313" spans="1:23">
      <c r="A313" s="840">
        <v>10199</v>
      </c>
      <c r="B313" s="841" t="s">
        <v>2750</v>
      </c>
      <c r="C313" s="842">
        <v>410</v>
      </c>
      <c r="D313" s="842">
        <v>411</v>
      </c>
      <c r="E313" s="842">
        <v>412</v>
      </c>
      <c r="F313" s="848">
        <v>940</v>
      </c>
      <c r="G313" s="848">
        <v>940</v>
      </c>
      <c r="H313" s="848">
        <v>490</v>
      </c>
      <c r="I313" s="848">
        <v>89</v>
      </c>
      <c r="J313" s="848">
        <v>89</v>
      </c>
      <c r="K313" s="848">
        <v>46</v>
      </c>
      <c r="L313" s="848">
        <v>165</v>
      </c>
      <c r="M313" s="831">
        <v>0.215</v>
      </c>
      <c r="N313" s="831"/>
      <c r="O313" s="842">
        <v>1</v>
      </c>
      <c r="P313" s="831" t="s">
        <v>2750</v>
      </c>
      <c r="Q313" s="831"/>
      <c r="R313" s="832"/>
      <c r="S313" s="872">
        <v>389</v>
      </c>
      <c r="T313" s="841">
        <v>28.04</v>
      </c>
      <c r="U313" s="841">
        <v>6.78</v>
      </c>
      <c r="V313" s="841">
        <v>4.9000000000000004</v>
      </c>
      <c r="W313" s="841">
        <v>7.0000000000000007E-2</v>
      </c>
    </row>
    <row r="314" spans="1:23">
      <c r="A314" s="840">
        <v>10200</v>
      </c>
      <c r="B314" s="841" t="s">
        <v>2751</v>
      </c>
      <c r="C314" s="842">
        <v>410</v>
      </c>
      <c r="D314" s="842">
        <v>411</v>
      </c>
      <c r="E314" s="842">
        <v>412</v>
      </c>
      <c r="F314" s="848">
        <v>940</v>
      </c>
      <c r="G314" s="848">
        <v>940</v>
      </c>
      <c r="H314" s="848">
        <v>490</v>
      </c>
      <c r="I314" s="848">
        <v>89</v>
      </c>
      <c r="J314" s="848">
        <v>89</v>
      </c>
      <c r="K314" s="848">
        <v>46</v>
      </c>
      <c r="L314" s="848">
        <v>165</v>
      </c>
      <c r="M314" s="831">
        <v>0.23799999999999999</v>
      </c>
      <c r="N314" s="831"/>
      <c r="O314" s="842">
        <v>1</v>
      </c>
      <c r="P314" s="831" t="s">
        <v>2752</v>
      </c>
      <c r="Q314" s="831" t="s">
        <v>872</v>
      </c>
      <c r="R314" s="832"/>
      <c r="S314" s="872">
        <v>390</v>
      </c>
      <c r="T314" s="841">
        <v>22.2</v>
      </c>
      <c r="U314" s="841">
        <v>45.981000000000002</v>
      </c>
      <c r="V314" s="841">
        <v>26</v>
      </c>
      <c r="W314" s="841">
        <v>0.9</v>
      </c>
    </row>
    <row r="315" spans="1:23">
      <c r="A315" s="840">
        <v>10201</v>
      </c>
      <c r="B315" s="841" t="s">
        <v>908</v>
      </c>
      <c r="C315" s="842">
        <v>410</v>
      </c>
      <c r="D315" s="842">
        <v>411</v>
      </c>
      <c r="E315" s="842">
        <v>412</v>
      </c>
      <c r="F315" s="848">
        <v>940</v>
      </c>
      <c r="G315" s="848">
        <v>940</v>
      </c>
      <c r="H315" s="848">
        <v>490</v>
      </c>
      <c r="I315" s="848">
        <v>89</v>
      </c>
      <c r="J315" s="848">
        <v>89</v>
      </c>
      <c r="K315" s="848">
        <v>46</v>
      </c>
      <c r="L315" s="848">
        <v>165</v>
      </c>
      <c r="M315" s="831">
        <v>0.36</v>
      </c>
      <c r="N315" s="831"/>
      <c r="O315" s="842">
        <v>3</v>
      </c>
      <c r="P315" s="831" t="s">
        <v>908</v>
      </c>
      <c r="Q315" s="831"/>
      <c r="R315" s="832"/>
      <c r="S315" s="872">
        <v>391</v>
      </c>
      <c r="T315" s="841">
        <v>30.8</v>
      </c>
      <c r="U315" s="841">
        <v>20.241</v>
      </c>
      <c r="V315" s="841">
        <v>11</v>
      </c>
      <c r="W315" s="841">
        <v>0.3</v>
      </c>
    </row>
    <row r="316" spans="1:23">
      <c r="A316" s="840">
        <v>10202</v>
      </c>
      <c r="B316" s="841" t="s">
        <v>912</v>
      </c>
      <c r="C316" s="842">
        <v>392</v>
      </c>
      <c r="D316" s="842">
        <v>393</v>
      </c>
      <c r="E316" s="842">
        <v>394</v>
      </c>
      <c r="F316" s="848">
        <v>1360</v>
      </c>
      <c r="G316" s="848">
        <v>1360</v>
      </c>
      <c r="H316" s="848">
        <v>735</v>
      </c>
      <c r="I316" s="848">
        <v>147</v>
      </c>
      <c r="J316" s="848">
        <v>147</v>
      </c>
      <c r="K316" s="848">
        <v>82</v>
      </c>
      <c r="L316" s="848">
        <v>210</v>
      </c>
      <c r="M316" s="831">
        <v>0.215</v>
      </c>
      <c r="N316" s="831"/>
      <c r="O316" s="842">
        <v>1</v>
      </c>
      <c r="P316" s="831" t="s">
        <v>913</v>
      </c>
      <c r="Q316" s="831"/>
      <c r="R316" s="832"/>
      <c r="S316" s="872">
        <v>392</v>
      </c>
      <c r="T316" s="841">
        <v>4.1900000000000004</v>
      </c>
      <c r="U316" s="841">
        <v>1976</v>
      </c>
      <c r="V316" s="841">
        <v>1360</v>
      </c>
      <c r="W316" s="841">
        <v>208</v>
      </c>
    </row>
    <row r="317" spans="1:23">
      <c r="A317" s="840">
        <v>10203</v>
      </c>
      <c r="B317" s="841" t="s">
        <v>914</v>
      </c>
      <c r="C317" s="842">
        <v>392</v>
      </c>
      <c r="D317" s="842">
        <v>393</v>
      </c>
      <c r="E317" s="842">
        <v>394</v>
      </c>
      <c r="F317" s="848">
        <v>1360</v>
      </c>
      <c r="G317" s="848">
        <v>1360</v>
      </c>
      <c r="H317" s="848">
        <v>735</v>
      </c>
      <c r="I317" s="848">
        <v>147</v>
      </c>
      <c r="J317" s="848">
        <v>147</v>
      </c>
      <c r="K317" s="848">
        <v>82</v>
      </c>
      <c r="L317" s="848">
        <v>210</v>
      </c>
      <c r="M317" s="831">
        <v>0.23799999999999999</v>
      </c>
      <c r="N317" s="831"/>
      <c r="O317" s="842">
        <v>1</v>
      </c>
      <c r="P317" s="831" t="s">
        <v>915</v>
      </c>
      <c r="Q317" s="831" t="s">
        <v>872</v>
      </c>
      <c r="R317" s="832"/>
      <c r="S317" s="872">
        <v>393</v>
      </c>
      <c r="T317" s="841">
        <v>3.49</v>
      </c>
      <c r="U317" s="841">
        <v>1873.1</v>
      </c>
      <c r="V317" s="841">
        <v>1360</v>
      </c>
      <c r="W317" s="841">
        <v>222</v>
      </c>
    </row>
    <row r="318" spans="1:23">
      <c r="A318" s="840">
        <v>10204</v>
      </c>
      <c r="B318" s="841" t="s">
        <v>919</v>
      </c>
      <c r="C318" s="842">
        <v>392</v>
      </c>
      <c r="D318" s="842">
        <v>393</v>
      </c>
      <c r="E318" s="842">
        <v>394</v>
      </c>
      <c r="F318" s="848">
        <v>1360</v>
      </c>
      <c r="G318" s="848">
        <v>1360</v>
      </c>
      <c r="H318" s="848">
        <v>735</v>
      </c>
      <c r="I318" s="848">
        <v>147</v>
      </c>
      <c r="J318" s="848">
        <v>147</v>
      </c>
      <c r="K318" s="848">
        <v>82</v>
      </c>
      <c r="L318" s="848">
        <v>210</v>
      </c>
      <c r="M318" s="831">
        <v>0.36</v>
      </c>
      <c r="N318" s="831"/>
      <c r="O318" s="842">
        <v>3</v>
      </c>
      <c r="P318" s="831" t="s">
        <v>919</v>
      </c>
      <c r="Q318" s="831"/>
      <c r="R318" s="832"/>
      <c r="S318" s="872">
        <v>394</v>
      </c>
      <c r="T318" s="841">
        <v>2.76</v>
      </c>
      <c r="U318" s="841">
        <v>962</v>
      </c>
      <c r="V318" s="841">
        <v>735</v>
      </c>
      <c r="W318" s="841">
        <v>82</v>
      </c>
    </row>
    <row r="319" spans="1:23">
      <c r="A319" s="840">
        <v>10205</v>
      </c>
      <c r="B319" s="841" t="s">
        <v>922</v>
      </c>
      <c r="C319" s="842">
        <v>422</v>
      </c>
      <c r="D319" s="842">
        <v>422</v>
      </c>
      <c r="E319" s="842">
        <v>423</v>
      </c>
      <c r="F319" s="848">
        <v>22</v>
      </c>
      <c r="G319" s="848">
        <v>22</v>
      </c>
      <c r="H319" s="848">
        <v>9.8000000000000007</v>
      </c>
      <c r="I319" s="848">
        <v>0.65</v>
      </c>
      <c r="J319" s="848">
        <v>0.65</v>
      </c>
      <c r="K319" s="848">
        <v>0.17</v>
      </c>
      <c r="L319" s="848">
        <v>12</v>
      </c>
      <c r="M319" s="831">
        <v>0.1</v>
      </c>
      <c r="N319" s="831"/>
      <c r="O319" s="842">
        <v>2</v>
      </c>
      <c r="P319" s="831" t="s">
        <v>922</v>
      </c>
      <c r="Q319" s="831"/>
      <c r="R319" s="832"/>
      <c r="S319" s="872">
        <v>395</v>
      </c>
      <c r="T319" s="841">
        <v>2.1816610000000001</v>
      </c>
      <c r="U319" s="841">
        <v>5139.4639999999999</v>
      </c>
      <c r="V319" s="841">
        <v>2744</v>
      </c>
      <c r="W319" s="841">
        <v>1721.5429999999999</v>
      </c>
    </row>
    <row r="320" spans="1:23">
      <c r="A320" s="877">
        <v>10206</v>
      </c>
      <c r="B320" s="878" t="s">
        <v>925</v>
      </c>
      <c r="C320" s="879">
        <v>256</v>
      </c>
      <c r="D320" s="879">
        <v>257</v>
      </c>
      <c r="E320" s="879">
        <v>463</v>
      </c>
      <c r="F320" s="880">
        <v>206</v>
      </c>
      <c r="G320" s="880">
        <v>206</v>
      </c>
      <c r="H320" s="880">
        <v>127</v>
      </c>
      <c r="I320" s="880">
        <v>28</v>
      </c>
      <c r="J320" s="880">
        <v>28</v>
      </c>
      <c r="K320" s="880">
        <v>20</v>
      </c>
      <c r="L320" s="880">
        <v>45</v>
      </c>
      <c r="M320" s="881">
        <v>0.17499999999999999</v>
      </c>
      <c r="N320" s="881"/>
      <c r="O320" s="879">
        <v>1</v>
      </c>
      <c r="P320" s="881" t="s">
        <v>925</v>
      </c>
      <c r="Q320" s="881"/>
      <c r="R320" s="882"/>
      <c r="S320" s="872">
        <v>396</v>
      </c>
      <c r="T320" s="841">
        <v>2.1816610000000001</v>
      </c>
      <c r="U320" s="841">
        <v>5139.4639999999999</v>
      </c>
      <c r="V320" s="841">
        <v>2744</v>
      </c>
      <c r="W320" s="841">
        <v>1833.788</v>
      </c>
    </row>
    <row r="321" spans="1:23">
      <c r="A321" s="877">
        <v>10207</v>
      </c>
      <c r="B321" s="878" t="s">
        <v>890</v>
      </c>
      <c r="C321" s="928">
        <v>464</v>
      </c>
      <c r="D321" s="928">
        <v>464</v>
      </c>
      <c r="E321" s="928">
        <v>465</v>
      </c>
      <c r="F321" s="880">
        <v>16.100000000000001</v>
      </c>
      <c r="G321" s="880">
        <v>16.100000000000001</v>
      </c>
      <c r="H321" s="880">
        <v>5.9</v>
      </c>
      <c r="I321" s="880">
        <v>0.63</v>
      </c>
      <c r="J321" s="880">
        <v>0.63</v>
      </c>
      <c r="K321" s="880">
        <v>6.0999999999999999E-2</v>
      </c>
      <c r="L321" s="880">
        <v>3</v>
      </c>
      <c r="M321" s="881">
        <v>0.1</v>
      </c>
      <c r="N321" s="881"/>
      <c r="O321" s="879">
        <v>2</v>
      </c>
      <c r="P321" s="881" t="s">
        <v>890</v>
      </c>
      <c r="Q321" s="881"/>
      <c r="R321" s="882"/>
      <c r="S321" s="869">
        <v>397</v>
      </c>
      <c r="T321" s="841">
        <v>2.7699120000000002</v>
      </c>
      <c r="U321" s="841">
        <v>2954.8409999999999</v>
      </c>
      <c r="V321" s="841">
        <v>1725</v>
      </c>
      <c r="W321" s="841">
        <v>671.41269999999997</v>
      </c>
    </row>
    <row r="322" spans="1:23">
      <c r="A322" s="877">
        <v>10208</v>
      </c>
      <c r="B322" s="878" t="s">
        <v>1773</v>
      </c>
      <c r="C322" s="928">
        <v>464</v>
      </c>
      <c r="D322" s="928">
        <v>464</v>
      </c>
      <c r="E322" s="928">
        <v>465</v>
      </c>
      <c r="F322" s="880">
        <v>16.100000000000001</v>
      </c>
      <c r="G322" s="880">
        <v>16.100000000000001</v>
      </c>
      <c r="H322" s="880">
        <v>5.9</v>
      </c>
      <c r="I322" s="880">
        <v>0.63</v>
      </c>
      <c r="J322" s="880">
        <v>0.63</v>
      </c>
      <c r="K322" s="880">
        <v>6.0999999999999999E-2</v>
      </c>
      <c r="L322" s="880">
        <v>3</v>
      </c>
      <c r="M322" s="881">
        <v>0.1</v>
      </c>
      <c r="N322" s="881"/>
      <c r="O322" s="879">
        <v>2</v>
      </c>
      <c r="P322" s="881" t="s">
        <v>1773</v>
      </c>
      <c r="Q322" s="881"/>
      <c r="R322" s="882"/>
      <c r="S322" s="872">
        <v>398</v>
      </c>
      <c r="T322" s="841">
        <v>21.427029999999998</v>
      </c>
      <c r="U322" s="841">
        <v>26.67071</v>
      </c>
      <c r="V322" s="841">
        <v>16.600000000000001</v>
      </c>
      <c r="W322" s="841">
        <v>0.47</v>
      </c>
    </row>
    <row r="323" spans="1:23">
      <c r="A323" s="877">
        <v>10209</v>
      </c>
      <c r="B323" s="878" t="s">
        <v>1848</v>
      </c>
      <c r="C323" s="928">
        <v>436</v>
      </c>
      <c r="D323" s="928">
        <v>436</v>
      </c>
      <c r="E323" s="928">
        <v>437</v>
      </c>
      <c r="F323" s="880">
        <v>7.72</v>
      </c>
      <c r="G323" s="880">
        <v>7.72</v>
      </c>
      <c r="H323" s="880">
        <v>0.21560000000000001</v>
      </c>
      <c r="I323" s="880">
        <v>0.24399999999999999</v>
      </c>
      <c r="J323" s="880">
        <v>0.24399999999999999</v>
      </c>
      <c r="K323" s="880">
        <v>2.7399999999999998E-3</v>
      </c>
      <c r="L323" s="880">
        <v>3</v>
      </c>
      <c r="M323" s="881">
        <v>0.1</v>
      </c>
      <c r="N323" s="881"/>
      <c r="O323" s="879">
        <v>2</v>
      </c>
      <c r="P323" s="881" t="s">
        <v>1848</v>
      </c>
      <c r="Q323" s="881"/>
      <c r="R323" s="882"/>
      <c r="S323" s="872">
        <v>399</v>
      </c>
      <c r="T323" s="841">
        <v>46.749890000000001</v>
      </c>
      <c r="U323" s="841">
        <v>6.1504950000000003</v>
      </c>
      <c r="V323" s="841">
        <v>4</v>
      </c>
      <c r="W323" s="841">
        <v>4.5999999999999999E-2</v>
      </c>
    </row>
    <row r="324" spans="1:23">
      <c r="A324" s="877">
        <v>10210</v>
      </c>
      <c r="B324" s="878" t="s">
        <v>2945</v>
      </c>
      <c r="C324" s="928">
        <v>416</v>
      </c>
      <c r="D324" s="928">
        <v>417</v>
      </c>
      <c r="E324" s="928">
        <v>418</v>
      </c>
      <c r="F324" s="880">
        <v>1960</v>
      </c>
      <c r="G324" s="880">
        <v>1960</v>
      </c>
      <c r="H324" s="880">
        <v>1050</v>
      </c>
      <c r="I324" s="880">
        <v>260</v>
      </c>
      <c r="J324" s="880">
        <v>260</v>
      </c>
      <c r="K324" s="880">
        <v>160</v>
      </c>
      <c r="L324" s="880">
        <v>280</v>
      </c>
      <c r="M324" s="881">
        <v>0.26</v>
      </c>
      <c r="N324" s="881"/>
      <c r="O324" s="879">
        <v>1</v>
      </c>
      <c r="P324" s="881" t="s">
        <v>2945</v>
      </c>
      <c r="Q324" s="881"/>
      <c r="R324" s="882"/>
      <c r="S324" s="872">
        <v>400</v>
      </c>
      <c r="T324" s="841">
        <v>46.749890000000001</v>
      </c>
      <c r="U324" s="841">
        <v>12.51248</v>
      </c>
      <c r="V324" s="841">
        <v>5.5</v>
      </c>
      <c r="W324" s="841">
        <v>0.15</v>
      </c>
    </row>
    <row r="325" spans="1:23">
      <c r="A325" s="877">
        <v>10211</v>
      </c>
      <c r="B325" s="878" t="s">
        <v>997</v>
      </c>
      <c r="C325" s="928">
        <v>416</v>
      </c>
      <c r="D325" s="928">
        <v>417</v>
      </c>
      <c r="E325" s="928">
        <v>418</v>
      </c>
      <c r="F325" s="880">
        <v>1960</v>
      </c>
      <c r="G325" s="880">
        <v>1960</v>
      </c>
      <c r="H325" s="880">
        <v>1050</v>
      </c>
      <c r="I325" s="880">
        <v>260</v>
      </c>
      <c r="J325" s="880">
        <v>260</v>
      </c>
      <c r="K325" s="880">
        <v>160</v>
      </c>
      <c r="L325" s="880">
        <v>280</v>
      </c>
      <c r="M325" s="881">
        <v>0.27</v>
      </c>
      <c r="N325" s="881"/>
      <c r="O325" s="879">
        <v>1</v>
      </c>
      <c r="P325" s="881" t="s">
        <v>2945</v>
      </c>
      <c r="Q325" s="881" t="s">
        <v>872</v>
      </c>
      <c r="R325" s="882"/>
      <c r="S325" s="872">
        <v>401</v>
      </c>
      <c r="T325" s="841">
        <v>21.81662</v>
      </c>
      <c r="U325" s="841">
        <v>13.223319999999999</v>
      </c>
      <c r="V325" s="841">
        <v>8.86</v>
      </c>
      <c r="W325" s="841">
        <v>0.2</v>
      </c>
    </row>
    <row r="326" spans="1:23">
      <c r="A326" s="877">
        <v>10212</v>
      </c>
      <c r="B326" s="878" t="s">
        <v>2889</v>
      </c>
      <c r="C326" s="928">
        <v>419</v>
      </c>
      <c r="D326" s="928">
        <v>420</v>
      </c>
      <c r="E326" s="928">
        <v>421</v>
      </c>
      <c r="F326" s="880">
        <v>1960</v>
      </c>
      <c r="G326" s="880">
        <v>1960</v>
      </c>
      <c r="H326" s="880">
        <v>1050</v>
      </c>
      <c r="I326" s="880">
        <v>460</v>
      </c>
      <c r="J326" s="880">
        <v>460</v>
      </c>
      <c r="K326" s="880">
        <v>360</v>
      </c>
      <c r="L326" s="880">
        <v>280</v>
      </c>
      <c r="M326" s="881">
        <v>0.26</v>
      </c>
      <c r="N326" s="881"/>
      <c r="O326" s="879">
        <v>1</v>
      </c>
      <c r="P326" s="881" t="s">
        <v>2889</v>
      </c>
      <c r="Q326" s="881"/>
      <c r="R326" s="882"/>
      <c r="S326" s="872">
        <v>402</v>
      </c>
      <c r="T326" s="841">
        <v>46.749890000000001</v>
      </c>
      <c r="U326" s="841">
        <v>9.3802409999999998</v>
      </c>
      <c r="V326" s="841">
        <v>5.5</v>
      </c>
      <c r="W326" s="841">
        <v>8.3000000000000004E-2</v>
      </c>
    </row>
    <row r="327" spans="1:23">
      <c r="A327" s="877">
        <v>10213</v>
      </c>
      <c r="B327" s="878" t="s">
        <v>2890</v>
      </c>
      <c r="C327" s="928">
        <v>419</v>
      </c>
      <c r="D327" s="928">
        <v>420</v>
      </c>
      <c r="E327" s="928">
        <v>421</v>
      </c>
      <c r="F327" s="880">
        <v>1960</v>
      </c>
      <c r="G327" s="880">
        <v>1960</v>
      </c>
      <c r="H327" s="880">
        <v>1050</v>
      </c>
      <c r="I327" s="880">
        <v>460</v>
      </c>
      <c r="J327" s="880">
        <v>460</v>
      </c>
      <c r="K327" s="880">
        <v>360</v>
      </c>
      <c r="L327" s="880">
        <v>280</v>
      </c>
      <c r="M327" s="881">
        <v>0.27</v>
      </c>
      <c r="N327" s="881"/>
      <c r="O327" s="879">
        <v>1</v>
      </c>
      <c r="P327" s="881" t="s">
        <v>2889</v>
      </c>
      <c r="Q327" s="881" t="s">
        <v>872</v>
      </c>
      <c r="R327" s="882"/>
      <c r="S327" s="872">
        <v>403</v>
      </c>
      <c r="T327" s="841">
        <v>7.9539739999999997</v>
      </c>
      <c r="U327" s="841">
        <v>141.8159</v>
      </c>
      <c r="V327" s="841">
        <v>110</v>
      </c>
      <c r="W327" s="841">
        <v>4</v>
      </c>
    </row>
    <row r="328" spans="1:23">
      <c r="A328" s="929">
        <v>10214</v>
      </c>
      <c r="B328" s="930" t="s">
        <v>607</v>
      </c>
      <c r="C328" s="928">
        <v>466</v>
      </c>
      <c r="D328" s="928">
        <v>467</v>
      </c>
      <c r="E328" s="928">
        <v>468</v>
      </c>
      <c r="F328" s="848" t="s">
        <v>493</v>
      </c>
      <c r="G328" s="848">
        <v>0.77111111111111108</v>
      </c>
      <c r="H328" s="848">
        <v>0.30666666666666664</v>
      </c>
      <c r="I328" s="848">
        <v>1.9022222222222222E-2</v>
      </c>
      <c r="J328" s="848">
        <v>1.2933333333333331E-2</v>
      </c>
      <c r="K328" s="848">
        <v>2.5266666666666666E-3</v>
      </c>
      <c r="L328" s="848">
        <v>3</v>
      </c>
      <c r="M328" s="831">
        <v>5.9499999999999997E-2</v>
      </c>
      <c r="N328" s="831"/>
      <c r="O328" s="842">
        <v>2</v>
      </c>
      <c r="P328" s="831" t="s">
        <v>615</v>
      </c>
      <c r="Q328" s="831"/>
      <c r="R328" s="832">
        <v>7.0999999999999994E-2</v>
      </c>
      <c r="S328" s="872">
        <v>404</v>
      </c>
      <c r="T328" s="841">
        <v>9.0902569999999994</v>
      </c>
      <c r="U328" s="876">
        <v>73.635379999999998</v>
      </c>
      <c r="V328" s="841">
        <v>60</v>
      </c>
      <c r="W328" s="876">
        <v>1.5</v>
      </c>
    </row>
    <row r="329" spans="1:23">
      <c r="A329" s="929">
        <v>10215</v>
      </c>
      <c r="B329" s="930" t="s">
        <v>608</v>
      </c>
      <c r="C329" s="928">
        <v>466</v>
      </c>
      <c r="D329" s="928">
        <v>467</v>
      </c>
      <c r="E329" s="928">
        <v>468</v>
      </c>
      <c r="F329" s="931" t="s">
        <v>609</v>
      </c>
      <c r="G329" s="931">
        <v>0.77111111111111108</v>
      </c>
      <c r="H329" s="931">
        <v>0.30666666666666664</v>
      </c>
      <c r="I329" s="931">
        <v>1.9022222222222222E-2</v>
      </c>
      <c r="J329" s="931">
        <v>1.2933333333333331E-2</v>
      </c>
      <c r="K329" s="931">
        <v>2.5266666666666666E-3</v>
      </c>
      <c r="L329" s="931">
        <v>3</v>
      </c>
      <c r="M329" s="932">
        <v>5.9499999999999997E-2</v>
      </c>
      <c r="N329" s="932"/>
      <c r="O329" s="928">
        <v>2</v>
      </c>
      <c r="P329" s="831" t="s">
        <v>615</v>
      </c>
      <c r="Q329" s="831"/>
      <c r="R329" s="832">
        <v>7.0999999999999994E-2</v>
      </c>
      <c r="S329" s="872">
        <v>405</v>
      </c>
      <c r="T329" s="841">
        <v>4.1879999999999997</v>
      </c>
      <c r="U329" s="841">
        <v>2304</v>
      </c>
      <c r="V329" s="841">
        <v>1360</v>
      </c>
      <c r="W329" s="841">
        <v>225.4</v>
      </c>
    </row>
    <row r="330" spans="1:23">
      <c r="A330" s="929">
        <v>10216</v>
      </c>
      <c r="B330" s="930" t="s">
        <v>165</v>
      </c>
      <c r="C330" s="928">
        <v>469</v>
      </c>
      <c r="D330" s="928">
        <v>470</v>
      </c>
      <c r="E330" s="928">
        <v>471</v>
      </c>
      <c r="F330" s="931">
        <v>29400</v>
      </c>
      <c r="G330" s="931">
        <v>29400</v>
      </c>
      <c r="H330" s="931">
        <v>8820</v>
      </c>
      <c r="I330" s="931">
        <v>7500</v>
      </c>
      <c r="J330" s="931">
        <v>7500</v>
      </c>
      <c r="K330" s="931">
        <v>5500</v>
      </c>
      <c r="L330" s="931">
        <v>1700</v>
      </c>
      <c r="M330" s="932">
        <v>0.6</v>
      </c>
      <c r="N330" s="932"/>
      <c r="O330" s="928">
        <v>3</v>
      </c>
      <c r="P330" s="831" t="s">
        <v>165</v>
      </c>
      <c r="Q330" s="831"/>
      <c r="R330" s="832"/>
      <c r="S330" s="872">
        <v>406</v>
      </c>
      <c r="T330" s="841">
        <v>3.49</v>
      </c>
      <c r="U330" s="841">
        <v>2147</v>
      </c>
      <c r="V330" s="841">
        <v>1360</v>
      </c>
      <c r="W330" s="841">
        <v>225.4</v>
      </c>
    </row>
    <row r="331" spans="1:23">
      <c r="A331" s="929">
        <v>10217</v>
      </c>
      <c r="B331" s="930" t="s">
        <v>3454</v>
      </c>
      <c r="C331" s="928">
        <v>472</v>
      </c>
      <c r="D331" s="928">
        <v>473</v>
      </c>
      <c r="E331" s="928">
        <v>471</v>
      </c>
      <c r="F331" s="931">
        <v>29400</v>
      </c>
      <c r="G331" s="931">
        <v>29400</v>
      </c>
      <c r="H331" s="931">
        <v>8820</v>
      </c>
      <c r="I331" s="931">
        <v>7500</v>
      </c>
      <c r="J331" s="931">
        <v>7500</v>
      </c>
      <c r="K331" s="931">
        <v>5500</v>
      </c>
      <c r="L331" s="931">
        <v>2300</v>
      </c>
      <c r="M331" s="932">
        <v>0.6</v>
      </c>
      <c r="N331" s="932"/>
      <c r="O331" s="928">
        <v>3</v>
      </c>
      <c r="P331" s="831" t="s">
        <v>3454</v>
      </c>
      <c r="Q331" s="831"/>
      <c r="R331" s="832"/>
      <c r="S331" s="872">
        <v>407</v>
      </c>
      <c r="T331" s="841">
        <v>2.76</v>
      </c>
      <c r="U331" s="841">
        <v>1277</v>
      </c>
      <c r="V331" s="841">
        <v>735</v>
      </c>
      <c r="W331" s="841">
        <v>196</v>
      </c>
    </row>
    <row r="332" spans="1:23">
      <c r="A332" s="929">
        <v>10218</v>
      </c>
      <c r="B332" s="930" t="s">
        <v>3671</v>
      </c>
      <c r="C332" s="928">
        <v>403</v>
      </c>
      <c r="D332" s="928">
        <v>403</v>
      </c>
      <c r="E332" s="928">
        <v>404</v>
      </c>
      <c r="F332" s="931">
        <v>110</v>
      </c>
      <c r="G332" s="931">
        <v>110</v>
      </c>
      <c r="H332" s="931">
        <v>60</v>
      </c>
      <c r="I332" s="931">
        <v>4</v>
      </c>
      <c r="J332" s="931">
        <v>4</v>
      </c>
      <c r="K332" s="931">
        <v>1.5</v>
      </c>
      <c r="L332" s="931">
        <v>35</v>
      </c>
      <c r="M332" s="932">
        <v>0.1</v>
      </c>
      <c r="N332" s="932"/>
      <c r="O332" s="928">
        <v>3</v>
      </c>
      <c r="P332" s="831" t="s">
        <v>3671</v>
      </c>
      <c r="Q332" s="831"/>
      <c r="R332" s="832"/>
      <c r="S332" s="872">
        <v>408</v>
      </c>
      <c r="T332" s="841">
        <v>4.1900000000000004</v>
      </c>
      <c r="U332" s="841">
        <v>1976</v>
      </c>
      <c r="V332" s="841">
        <v>1360</v>
      </c>
      <c r="W332" s="841">
        <v>208</v>
      </c>
    </row>
    <row r="333" spans="1:23">
      <c r="A333" s="929">
        <v>10219</v>
      </c>
      <c r="B333" s="930" t="s">
        <v>3077</v>
      </c>
      <c r="C333" s="928">
        <v>474</v>
      </c>
      <c r="D333" s="928">
        <v>474</v>
      </c>
      <c r="E333" s="928">
        <v>475</v>
      </c>
      <c r="F333" s="931">
        <v>51</v>
      </c>
      <c r="G333" s="931">
        <v>51</v>
      </c>
      <c r="H333" s="931">
        <v>31</v>
      </c>
      <c r="I333" s="931">
        <v>2.2000000000000002</v>
      </c>
      <c r="J333" s="931">
        <v>2.2000000000000002</v>
      </c>
      <c r="K333" s="931">
        <v>1.2</v>
      </c>
      <c r="L333" s="931">
        <v>25</v>
      </c>
      <c r="M333" s="932">
        <v>0.1</v>
      </c>
      <c r="N333" s="932"/>
      <c r="O333" s="928">
        <v>4</v>
      </c>
      <c r="P333" s="831" t="s">
        <v>3077</v>
      </c>
      <c r="Q333" s="831"/>
      <c r="R333" s="832"/>
      <c r="S333" s="872">
        <v>409</v>
      </c>
      <c r="T333" s="841">
        <v>3.49</v>
      </c>
      <c r="U333" s="841">
        <v>1873.1</v>
      </c>
      <c r="V333" s="841">
        <v>1360</v>
      </c>
      <c r="W333" s="841">
        <v>222</v>
      </c>
    </row>
    <row r="334" spans="1:23">
      <c r="A334" s="910">
        <v>10220</v>
      </c>
      <c r="B334" s="911" t="s">
        <v>360</v>
      </c>
      <c r="C334" s="909">
        <v>476</v>
      </c>
      <c r="D334" s="909">
        <v>477</v>
      </c>
      <c r="E334" s="909">
        <v>478</v>
      </c>
      <c r="F334" s="915">
        <v>1700</v>
      </c>
      <c r="G334" s="915">
        <v>1700</v>
      </c>
      <c r="H334" s="915">
        <v>900</v>
      </c>
      <c r="I334" s="915">
        <v>320</v>
      </c>
      <c r="J334" s="915">
        <v>320</v>
      </c>
      <c r="K334" s="915">
        <v>230</v>
      </c>
      <c r="L334" s="915">
        <v>210</v>
      </c>
      <c r="M334" s="916">
        <v>0.24</v>
      </c>
      <c r="N334" s="916"/>
      <c r="O334" s="909">
        <v>1</v>
      </c>
      <c r="P334" s="912" t="s">
        <v>360</v>
      </c>
      <c r="Q334" s="912"/>
      <c r="R334" s="914"/>
      <c r="S334" s="869">
        <v>410</v>
      </c>
      <c r="T334" s="841">
        <v>7.43</v>
      </c>
      <c r="U334" s="841">
        <v>1602</v>
      </c>
      <c r="V334" s="841">
        <v>940</v>
      </c>
      <c r="W334" s="841">
        <v>131</v>
      </c>
    </row>
    <row r="335" spans="1:23">
      <c r="A335" s="910">
        <v>10221</v>
      </c>
      <c r="B335" s="911" t="s">
        <v>361</v>
      </c>
      <c r="C335" s="909">
        <v>476</v>
      </c>
      <c r="D335" s="909">
        <v>477</v>
      </c>
      <c r="E335" s="909">
        <v>478</v>
      </c>
      <c r="F335" s="915">
        <v>1700</v>
      </c>
      <c r="G335" s="915">
        <v>1700</v>
      </c>
      <c r="H335" s="915">
        <v>900</v>
      </c>
      <c r="I335" s="915">
        <v>320</v>
      </c>
      <c r="J335" s="915">
        <v>320</v>
      </c>
      <c r="K335" s="915">
        <v>230</v>
      </c>
      <c r="L335" s="915">
        <v>210</v>
      </c>
      <c r="M335" s="916">
        <v>0.247</v>
      </c>
      <c r="N335" s="916"/>
      <c r="O335" s="909">
        <v>1</v>
      </c>
      <c r="P335" s="912" t="s">
        <v>360</v>
      </c>
      <c r="Q335" s="912" t="s">
        <v>872</v>
      </c>
      <c r="R335" s="914"/>
      <c r="S335" s="872">
        <v>411</v>
      </c>
      <c r="T335" s="841">
        <v>7.11</v>
      </c>
      <c r="U335" s="841">
        <v>1573</v>
      </c>
      <c r="V335" s="841">
        <v>940</v>
      </c>
      <c r="W335" s="841">
        <v>135</v>
      </c>
    </row>
    <row r="336" spans="1:23">
      <c r="A336" s="910">
        <v>10222</v>
      </c>
      <c r="B336" s="911" t="s">
        <v>627</v>
      </c>
      <c r="C336" s="909">
        <v>479</v>
      </c>
      <c r="D336" s="909">
        <v>480</v>
      </c>
      <c r="E336" s="909">
        <v>478</v>
      </c>
      <c r="F336" s="915">
        <v>1730</v>
      </c>
      <c r="G336" s="915">
        <v>1730</v>
      </c>
      <c r="H336" s="915">
        <v>900</v>
      </c>
      <c r="I336" s="915">
        <v>320</v>
      </c>
      <c r="J336" s="915">
        <v>320</v>
      </c>
      <c r="K336" s="915">
        <v>230</v>
      </c>
      <c r="L336" s="915">
        <v>270</v>
      </c>
      <c r="M336" s="916">
        <v>0.24</v>
      </c>
      <c r="N336" s="916"/>
      <c r="O336" s="909">
        <v>1</v>
      </c>
      <c r="P336" s="912" t="s">
        <v>627</v>
      </c>
      <c r="Q336" s="912"/>
      <c r="R336" s="914"/>
      <c r="S336" s="872">
        <v>412</v>
      </c>
      <c r="T336" s="841">
        <v>10.4</v>
      </c>
      <c r="U336" s="841">
        <v>970</v>
      </c>
      <c r="V336" s="841">
        <v>490</v>
      </c>
      <c r="W336" s="841">
        <v>69</v>
      </c>
    </row>
    <row r="337" spans="1:23">
      <c r="A337" s="910">
        <v>10223</v>
      </c>
      <c r="B337" s="911" t="s">
        <v>628</v>
      </c>
      <c r="C337" s="909">
        <v>479</v>
      </c>
      <c r="D337" s="909">
        <v>480</v>
      </c>
      <c r="E337" s="909">
        <v>478</v>
      </c>
      <c r="F337" s="915">
        <v>1730</v>
      </c>
      <c r="G337" s="915">
        <v>1730</v>
      </c>
      <c r="H337" s="915">
        <v>900</v>
      </c>
      <c r="I337" s="915">
        <v>320</v>
      </c>
      <c r="J337" s="915">
        <v>320</v>
      </c>
      <c r="K337" s="915">
        <v>230</v>
      </c>
      <c r="L337" s="915">
        <v>270</v>
      </c>
      <c r="M337" s="916">
        <v>0.247</v>
      </c>
      <c r="N337" s="916"/>
      <c r="O337" s="909">
        <v>1</v>
      </c>
      <c r="P337" s="912" t="s">
        <v>627</v>
      </c>
      <c r="Q337" s="912" t="s">
        <v>872</v>
      </c>
      <c r="R337" s="914"/>
      <c r="S337" s="872">
        <v>413</v>
      </c>
      <c r="T337" s="841">
        <v>7.43</v>
      </c>
      <c r="U337" s="841">
        <v>1833</v>
      </c>
      <c r="V337" s="841">
        <v>940</v>
      </c>
      <c r="W337" s="841">
        <v>131</v>
      </c>
    </row>
    <row r="338" spans="1:23">
      <c r="S338" s="872">
        <v>414</v>
      </c>
      <c r="T338" s="841">
        <v>7.11</v>
      </c>
      <c r="U338" s="841">
        <v>1794</v>
      </c>
      <c r="V338" s="841">
        <v>940</v>
      </c>
      <c r="W338" s="841">
        <v>135</v>
      </c>
    </row>
    <row r="339" spans="1:23">
      <c r="S339" s="872">
        <v>415</v>
      </c>
      <c r="T339" s="841">
        <v>10.4</v>
      </c>
      <c r="U339" s="841">
        <v>1533</v>
      </c>
      <c r="V339" s="841">
        <v>490</v>
      </c>
      <c r="W339" s="841">
        <v>100</v>
      </c>
    </row>
    <row r="340" spans="1:23">
      <c r="S340" s="872">
        <v>416</v>
      </c>
      <c r="T340" s="841">
        <v>3.6652</v>
      </c>
      <c r="U340" s="841">
        <v>2912.96</v>
      </c>
      <c r="V340" s="841">
        <v>1960</v>
      </c>
      <c r="W340" s="841">
        <v>469.37</v>
      </c>
    </row>
    <row r="341" spans="1:23">
      <c r="S341" s="872">
        <v>417</v>
      </c>
      <c r="T341" s="841">
        <v>3.0543</v>
      </c>
      <c r="U341" s="841">
        <v>2754.12</v>
      </c>
      <c r="V341" s="841">
        <v>1960</v>
      </c>
      <c r="W341" s="841">
        <v>446.7</v>
      </c>
    </row>
    <row r="342" spans="1:23">
      <c r="S342" s="872">
        <v>418</v>
      </c>
      <c r="T342" s="841">
        <v>3.2967</v>
      </c>
      <c r="U342" s="841">
        <v>1577.48</v>
      </c>
      <c r="V342" s="841">
        <v>1050</v>
      </c>
      <c r="W342" s="841">
        <v>179.48</v>
      </c>
    </row>
    <row r="343" spans="1:23">
      <c r="S343" s="872">
        <v>419</v>
      </c>
      <c r="T343" s="841">
        <v>3.6652</v>
      </c>
      <c r="U343" s="841">
        <v>3646</v>
      </c>
      <c r="V343" s="841">
        <v>1960</v>
      </c>
      <c r="W343" s="841">
        <v>469.37</v>
      </c>
    </row>
    <row r="344" spans="1:23">
      <c r="S344" s="872">
        <v>420</v>
      </c>
      <c r="T344" s="841">
        <v>3.0543</v>
      </c>
      <c r="U344" s="841">
        <v>3364.99</v>
      </c>
      <c r="V344" s="841">
        <v>1960</v>
      </c>
      <c r="W344" s="841">
        <v>460</v>
      </c>
    </row>
    <row r="345" spans="1:23">
      <c r="S345" s="872">
        <v>421</v>
      </c>
      <c r="T345" s="841">
        <v>3.2967</v>
      </c>
      <c r="U345" s="841">
        <v>2236.8200000000002</v>
      </c>
      <c r="V345" s="841">
        <v>1050</v>
      </c>
      <c r="W345" s="841">
        <v>360</v>
      </c>
    </row>
    <row r="346" spans="1:23">
      <c r="S346" s="872">
        <v>422</v>
      </c>
      <c r="T346" s="841">
        <v>28.427710000000001</v>
      </c>
      <c r="U346" s="841">
        <v>40.478009999999998</v>
      </c>
      <c r="V346" s="841">
        <v>22</v>
      </c>
      <c r="W346" s="841">
        <v>0.65</v>
      </c>
    </row>
    <row r="347" spans="1:23">
      <c r="S347" s="872">
        <v>423</v>
      </c>
      <c r="T347" s="841">
        <v>34.686349999999997</v>
      </c>
      <c r="U347" s="841">
        <v>15.696680000000001</v>
      </c>
      <c r="V347" s="841">
        <v>9.8000000000000007</v>
      </c>
      <c r="W347" s="841">
        <v>0.17</v>
      </c>
    </row>
    <row r="348" spans="1:23">
      <c r="S348" s="872">
        <v>424</v>
      </c>
      <c r="T348" s="841">
        <v>22.742159999999998</v>
      </c>
      <c r="U348" s="841">
        <v>13.26909</v>
      </c>
      <c r="V348" s="841">
        <v>7.72</v>
      </c>
      <c r="W348" s="841">
        <v>0.24399999999999999</v>
      </c>
    </row>
    <row r="349" spans="1:23">
      <c r="S349" s="872">
        <v>425</v>
      </c>
      <c r="T349" s="841">
        <v>27.7666</v>
      </c>
      <c r="U349" s="841">
        <v>0.29056999999999999</v>
      </c>
      <c r="V349" s="841">
        <v>0.21560000000000001</v>
      </c>
      <c r="W349" s="841">
        <v>2.7000000000000001E-3</v>
      </c>
    </row>
    <row r="350" spans="1:23">
      <c r="S350" s="872">
        <v>426</v>
      </c>
      <c r="T350" s="841">
        <v>32.320909999999998</v>
      </c>
      <c r="U350" s="841">
        <v>15.606310000000001</v>
      </c>
      <c r="V350" s="841">
        <v>7.72</v>
      </c>
      <c r="W350" s="841">
        <v>0.24399999999999999</v>
      </c>
    </row>
    <row r="351" spans="1:23">
      <c r="S351" s="872">
        <v>427</v>
      </c>
      <c r="T351" s="841">
        <v>48.481360000000002</v>
      </c>
      <c r="U351" s="841">
        <v>0.348439</v>
      </c>
      <c r="V351" s="841">
        <v>0.21560000000000001</v>
      </c>
      <c r="W351" s="841">
        <v>2.7399999999999998E-3</v>
      </c>
    </row>
    <row r="352" spans="1:23">
      <c r="S352" s="872">
        <v>428</v>
      </c>
      <c r="T352" s="841">
        <v>26.444379999999999</v>
      </c>
      <c r="U352" s="841">
        <v>32.359960000000001</v>
      </c>
      <c r="V352" s="841">
        <v>15.7</v>
      </c>
      <c r="W352" s="841">
        <v>0.63</v>
      </c>
    </row>
    <row r="353" spans="19:23">
      <c r="S353" s="872">
        <v>429</v>
      </c>
      <c r="T353" s="841">
        <v>26.444379999999999</v>
      </c>
      <c r="U353" s="841">
        <v>15.61777</v>
      </c>
      <c r="V353" s="841">
        <v>9.8000000000000007</v>
      </c>
      <c r="W353" s="841">
        <v>0.22</v>
      </c>
    </row>
    <row r="354" spans="19:23">
      <c r="S354" s="872">
        <v>430</v>
      </c>
      <c r="T354" s="841">
        <v>33.034619999999997</v>
      </c>
      <c r="U354" s="841">
        <v>7.9151119999999997</v>
      </c>
      <c r="V354" s="841">
        <v>5.9</v>
      </c>
      <c r="W354" s="841">
        <v>6.0999999999999999E-2</v>
      </c>
    </row>
    <row r="355" spans="19:23">
      <c r="S355" s="872">
        <v>431</v>
      </c>
      <c r="T355" s="841">
        <v>26.503139999999998</v>
      </c>
      <c r="U355" s="841">
        <v>14.186769999999999</v>
      </c>
      <c r="V355" s="841">
        <v>7.72</v>
      </c>
      <c r="W355" s="841">
        <v>0.24399999999999999</v>
      </c>
    </row>
    <row r="356" spans="19:23">
      <c r="S356" s="872">
        <v>432</v>
      </c>
      <c r="T356" s="841">
        <v>28.017119999999998</v>
      </c>
      <c r="U356" s="841">
        <v>0.29236699999999999</v>
      </c>
      <c r="V356" s="841">
        <v>0.21560000000000001</v>
      </c>
      <c r="W356" s="841">
        <v>2.7399999999999998E-3</v>
      </c>
    </row>
    <row r="357" spans="19:23">
      <c r="S357" s="872">
        <v>433</v>
      </c>
      <c r="T357" s="841">
        <v>22.742170000000002</v>
      </c>
      <c r="U357" s="841">
        <v>30.027570000000001</v>
      </c>
      <c r="V357" s="841">
        <v>15.7</v>
      </c>
      <c r="W357" s="841">
        <v>0.63</v>
      </c>
    </row>
    <row r="358" spans="19:23">
      <c r="S358" s="872">
        <v>434</v>
      </c>
      <c r="T358" s="841">
        <v>22.742170000000002</v>
      </c>
      <c r="U358" s="841">
        <v>18.74203</v>
      </c>
      <c r="V358" s="841">
        <v>10.1</v>
      </c>
      <c r="W358" s="841">
        <v>0.38</v>
      </c>
    </row>
    <row r="359" spans="19:23">
      <c r="S359" s="872">
        <v>435</v>
      </c>
      <c r="T359" s="841">
        <v>27.7666</v>
      </c>
      <c r="U359" s="841">
        <v>7.593763</v>
      </c>
      <c r="V359" s="841">
        <v>5.9</v>
      </c>
      <c r="W359" s="841">
        <v>6.0999999999999999E-2</v>
      </c>
    </row>
    <row r="360" spans="19:23">
      <c r="S360" s="872">
        <v>436</v>
      </c>
      <c r="T360" s="841">
        <v>28.427710000000001</v>
      </c>
      <c r="U360" s="841">
        <v>14.656370000000001</v>
      </c>
      <c r="V360" s="841">
        <v>7.72</v>
      </c>
      <c r="W360" s="841">
        <v>0.24399999999999999</v>
      </c>
    </row>
    <row r="361" spans="19:23">
      <c r="S361" s="872">
        <v>437</v>
      </c>
      <c r="T361" s="841">
        <v>34.686349999999997</v>
      </c>
      <c r="U361" s="841">
        <v>0.310641</v>
      </c>
      <c r="V361" s="841">
        <v>0.21560000000000001</v>
      </c>
      <c r="W361" s="841">
        <v>2.7399999999999998E-3</v>
      </c>
    </row>
    <row r="362" spans="19:23">
      <c r="S362" s="872">
        <v>438</v>
      </c>
      <c r="T362" s="841">
        <v>28.427710000000001</v>
      </c>
      <c r="U362" s="841">
        <v>40.478020000000001</v>
      </c>
      <c r="V362" s="841">
        <v>22</v>
      </c>
      <c r="W362" s="841">
        <v>0.65</v>
      </c>
    </row>
    <row r="363" spans="19:23">
      <c r="S363" s="872">
        <v>439</v>
      </c>
      <c r="T363" s="841">
        <v>41.649900000000002</v>
      </c>
      <c r="U363" s="841">
        <v>16.880490000000002</v>
      </c>
      <c r="V363" s="841">
        <v>9.8000000000000007</v>
      </c>
      <c r="W363" s="841">
        <v>0.17</v>
      </c>
    </row>
    <row r="364" spans="19:23">
      <c r="S364" s="872">
        <v>440</v>
      </c>
      <c r="T364" s="841">
        <v>27.79598</v>
      </c>
      <c r="U364" s="841">
        <v>14.502219999999999</v>
      </c>
      <c r="V364" s="841">
        <v>7.72</v>
      </c>
      <c r="W364" s="841">
        <v>0.24399999999999999</v>
      </c>
    </row>
    <row r="365" spans="19:23">
      <c r="S365" s="872">
        <v>441</v>
      </c>
      <c r="T365" s="841">
        <v>28.93572</v>
      </c>
      <c r="U365" s="841">
        <v>0.29488399999999998</v>
      </c>
      <c r="V365" s="841">
        <v>0.21560000000000001</v>
      </c>
      <c r="W365" s="841">
        <v>2.7399999999999998E-3</v>
      </c>
    </row>
    <row r="366" spans="19:23">
      <c r="S366" s="872">
        <v>442</v>
      </c>
      <c r="T366" s="841">
        <v>29.088819999999998</v>
      </c>
      <c r="U366" s="841">
        <v>14.817679999999999</v>
      </c>
      <c r="V366" s="841">
        <v>7.72</v>
      </c>
      <c r="W366" s="841">
        <v>0.24399999999999999</v>
      </c>
    </row>
    <row r="367" spans="19:23">
      <c r="S367" s="872">
        <v>443</v>
      </c>
      <c r="T367" s="841">
        <v>44.441249999999997</v>
      </c>
      <c r="U367" s="841">
        <v>0.34177000000000002</v>
      </c>
      <c r="V367" s="841">
        <v>0.22</v>
      </c>
      <c r="W367" s="841">
        <v>2.7399999999999998E-3</v>
      </c>
    </row>
    <row r="368" spans="19:23">
      <c r="S368" s="872">
        <v>444</v>
      </c>
      <c r="T368" s="841">
        <v>48.481369999999998</v>
      </c>
      <c r="U368" s="841">
        <v>0.35283900000000001</v>
      </c>
      <c r="V368" s="841">
        <v>0.22</v>
      </c>
      <c r="W368" s="841">
        <v>2.7399999999999998E-3</v>
      </c>
    </row>
    <row r="369" spans="9:23">
      <c r="S369" s="872">
        <v>445</v>
      </c>
      <c r="T369" s="841">
        <v>21.1555</v>
      </c>
      <c r="U369" s="841">
        <v>35.751100000000001</v>
      </c>
      <c r="V369" s="841">
        <v>22</v>
      </c>
      <c r="W369" s="841">
        <v>0.65</v>
      </c>
    </row>
    <row r="370" spans="9:23">
      <c r="S370" s="872">
        <v>446</v>
      </c>
      <c r="T370" s="841">
        <v>22.7422</v>
      </c>
      <c r="U370" s="841">
        <v>36.782499999999999</v>
      </c>
      <c r="V370" s="841">
        <v>22</v>
      </c>
      <c r="W370" s="841">
        <v>0.65</v>
      </c>
    </row>
    <row r="371" spans="9:23">
      <c r="S371" s="872">
        <v>447</v>
      </c>
      <c r="T371" s="841">
        <v>27.7667</v>
      </c>
      <c r="U371" s="841">
        <v>14.5204</v>
      </c>
      <c r="V371" s="841">
        <v>9.8000000000000007</v>
      </c>
      <c r="W371" s="841">
        <v>0.17</v>
      </c>
    </row>
    <row r="372" spans="9:23">
      <c r="S372" s="872">
        <v>448</v>
      </c>
      <c r="T372" s="841">
        <v>32.320900000000002</v>
      </c>
      <c r="U372" s="841">
        <v>15.606299999999999</v>
      </c>
      <c r="V372" s="841">
        <v>7.72</v>
      </c>
      <c r="W372" s="841">
        <v>0.24399999999999999</v>
      </c>
    </row>
    <row r="373" spans="9:23">
      <c r="S373" s="872">
        <v>449</v>
      </c>
      <c r="T373" s="841">
        <v>34.744900000000001</v>
      </c>
      <c r="U373" s="841">
        <v>16.197800000000001</v>
      </c>
      <c r="V373" s="841">
        <v>7.72</v>
      </c>
      <c r="W373" s="841">
        <v>0.24399999999999999</v>
      </c>
    </row>
    <row r="374" spans="9:23">
      <c r="S374" s="872">
        <v>450</v>
      </c>
      <c r="T374" s="841">
        <v>50.9054</v>
      </c>
      <c r="U374" s="841">
        <v>0.35948999999999998</v>
      </c>
      <c r="V374" s="841">
        <v>0.22</v>
      </c>
      <c r="W374" s="841">
        <v>2.7399999999999998E-3</v>
      </c>
    </row>
    <row r="375" spans="9:23">
      <c r="S375" s="872">
        <v>451</v>
      </c>
      <c r="T375" s="841">
        <v>7.44</v>
      </c>
      <c r="U375" s="841">
        <v>1246</v>
      </c>
      <c r="V375" s="841">
        <v>710</v>
      </c>
      <c r="W375" s="841">
        <v>129</v>
      </c>
    </row>
    <row r="376" spans="9:23">
      <c r="S376" s="872">
        <v>452</v>
      </c>
      <c r="T376" s="841">
        <v>7.11</v>
      </c>
      <c r="U376" s="841">
        <v>1222</v>
      </c>
      <c r="V376" s="841">
        <v>710</v>
      </c>
      <c r="W376" s="841">
        <v>132</v>
      </c>
    </row>
    <row r="377" spans="9:23">
      <c r="S377" s="872">
        <v>453</v>
      </c>
      <c r="T377" s="841">
        <v>10.43</v>
      </c>
      <c r="U377" s="841">
        <v>773</v>
      </c>
      <c r="V377" s="841">
        <v>355</v>
      </c>
      <c r="W377" s="841">
        <v>68</v>
      </c>
    </row>
    <row r="378" spans="9:23">
      <c r="S378" s="872">
        <v>454</v>
      </c>
      <c r="T378" s="841">
        <v>4.1357559999999998</v>
      </c>
      <c r="U378" s="841">
        <v>3101.7249999999999</v>
      </c>
      <c r="V378" s="841">
        <v>2035.46</v>
      </c>
      <c r="W378" s="841">
        <v>299.9058</v>
      </c>
    </row>
    <row r="379" spans="9:23">
      <c r="S379" s="872">
        <v>455</v>
      </c>
      <c r="T379" s="841">
        <v>3.2997570000000001</v>
      </c>
      <c r="U379" s="841">
        <v>2886.1909999999998</v>
      </c>
      <c r="V379" s="841">
        <v>2035.46</v>
      </c>
      <c r="W379" s="841">
        <v>291.90629999999999</v>
      </c>
    </row>
    <row r="380" spans="9:23">
      <c r="S380" s="872">
        <v>456</v>
      </c>
      <c r="T380" s="841">
        <v>3.3728099999999999</v>
      </c>
      <c r="U380" s="841">
        <v>1112.0419999999999</v>
      </c>
      <c r="V380" s="841">
        <v>715.4</v>
      </c>
      <c r="W380" s="841">
        <v>117.6</v>
      </c>
    </row>
    <row r="381" spans="9:23">
      <c r="S381" s="872">
        <v>457</v>
      </c>
      <c r="T381" s="841">
        <v>4.18879</v>
      </c>
      <c r="U381" s="841">
        <v>2600.59</v>
      </c>
      <c r="V381" s="841">
        <v>1700</v>
      </c>
      <c r="W381" s="841">
        <v>349.68</v>
      </c>
    </row>
    <row r="382" spans="9:23">
      <c r="I382" s="130"/>
      <c r="J382" s="130"/>
      <c r="K382" s="130"/>
      <c r="L382" s="130"/>
      <c r="M382" s="130"/>
      <c r="N382" s="130"/>
      <c r="O382" s="130"/>
      <c r="P382" s="130"/>
      <c r="S382" s="872">
        <v>458</v>
      </c>
      <c r="T382" s="841">
        <v>3.4906600000000001</v>
      </c>
      <c r="U382" s="841">
        <v>2450.5</v>
      </c>
      <c r="V382" s="841">
        <v>1700</v>
      </c>
      <c r="W382" s="841">
        <v>341.84199999999998</v>
      </c>
    </row>
    <row r="383" spans="9:23">
      <c r="I383" s="130"/>
      <c r="J383" s="130"/>
      <c r="K383" s="130"/>
      <c r="L383" s="130"/>
      <c r="M383" s="130"/>
      <c r="N383" s="130"/>
      <c r="O383" s="130"/>
      <c r="P383" s="130"/>
      <c r="S383" s="872">
        <v>459</v>
      </c>
      <c r="T383" s="841">
        <v>3.8784999999999998</v>
      </c>
      <c r="U383" s="841">
        <v>1492.99</v>
      </c>
      <c r="V383" s="841">
        <v>950</v>
      </c>
      <c r="W383" s="841">
        <v>149.04499999999999</v>
      </c>
    </row>
    <row r="384" spans="9:23">
      <c r="I384" s="130"/>
      <c r="J384" s="130"/>
      <c r="K384" s="130"/>
      <c r="L384" s="130"/>
      <c r="M384" s="130"/>
      <c r="N384" s="130"/>
      <c r="O384" s="130"/>
      <c r="P384" s="130"/>
      <c r="S384" s="872">
        <v>460</v>
      </c>
      <c r="T384" s="841">
        <v>4.1887999999999996</v>
      </c>
      <c r="U384" s="841">
        <v>3124.2</v>
      </c>
      <c r="V384" s="841">
        <v>1700</v>
      </c>
      <c r="W384" s="841">
        <v>349.68</v>
      </c>
    </row>
    <row r="385" spans="9:40">
      <c r="I385" s="884"/>
      <c r="J385" s="885"/>
      <c r="K385" s="885"/>
      <c r="L385" s="885"/>
      <c r="M385" s="885"/>
      <c r="N385" s="130"/>
      <c r="O385" s="130"/>
      <c r="P385" s="130"/>
      <c r="S385" s="872">
        <v>461</v>
      </c>
      <c r="T385" s="841">
        <v>3.4906999999999999</v>
      </c>
      <c r="U385" s="841">
        <v>2886.85</v>
      </c>
      <c r="V385" s="841">
        <v>1700</v>
      </c>
      <c r="W385" s="841">
        <v>341.84</v>
      </c>
    </row>
    <row r="386" spans="9:40">
      <c r="I386" s="884"/>
      <c r="J386" s="885"/>
      <c r="K386" s="885"/>
      <c r="L386" s="885"/>
      <c r="M386" s="885"/>
      <c r="N386" s="130"/>
      <c r="O386" s="130"/>
      <c r="P386" s="130"/>
      <c r="S386" s="883">
        <v>462</v>
      </c>
      <c r="T386" s="878">
        <v>3.8784999999999998</v>
      </c>
      <c r="U386" s="878">
        <v>1958.41</v>
      </c>
      <c r="V386" s="878">
        <v>950</v>
      </c>
      <c r="W386" s="878">
        <v>260</v>
      </c>
    </row>
    <row r="387" spans="9:40">
      <c r="I387" s="608"/>
      <c r="J387" s="130"/>
      <c r="K387" s="130"/>
      <c r="L387" s="130"/>
      <c r="M387" s="130"/>
      <c r="N387" s="130"/>
      <c r="O387" s="130"/>
      <c r="P387" s="130"/>
      <c r="S387" s="883">
        <v>463</v>
      </c>
      <c r="T387" s="841">
        <v>15.708</v>
      </c>
      <c r="U387" s="831">
        <v>441.16</v>
      </c>
      <c r="V387" s="831">
        <v>127</v>
      </c>
      <c r="W387" s="831">
        <v>20</v>
      </c>
    </row>
    <row r="388" spans="9:40">
      <c r="I388" s="608"/>
      <c r="J388" s="130"/>
      <c r="K388" s="130"/>
      <c r="L388" s="130"/>
      <c r="M388" s="130"/>
      <c r="N388" s="130"/>
      <c r="O388" s="130"/>
      <c r="P388" s="130"/>
      <c r="S388" s="883">
        <v>464</v>
      </c>
      <c r="T388" s="878">
        <v>22.742170000000002</v>
      </c>
      <c r="U388" s="878">
        <v>30.428000000000001</v>
      </c>
      <c r="V388" s="878">
        <v>16.100000000000001</v>
      </c>
      <c r="W388" s="878">
        <v>0.63</v>
      </c>
      <c r="X388" s="933"/>
      <c r="Y388" s="933">
        <v>0.1</v>
      </c>
      <c r="Z388" s="933"/>
      <c r="AA388" s="933"/>
      <c r="AB388" s="933"/>
      <c r="AC388" s="933">
        <v>1</v>
      </c>
      <c r="AD388" s="933"/>
      <c r="AE388" s="933"/>
      <c r="AF388" s="933"/>
      <c r="AG388" s="933">
        <v>2</v>
      </c>
      <c r="AH388" s="933"/>
      <c r="AI388" s="933"/>
      <c r="AJ388" s="933"/>
      <c r="AK388" s="933">
        <v>3</v>
      </c>
      <c r="AL388" s="933"/>
      <c r="AM388" s="933"/>
      <c r="AN388" s="933"/>
    </row>
    <row r="389" spans="9:40">
      <c r="I389" s="130"/>
      <c r="J389" s="130"/>
      <c r="K389" s="130"/>
      <c r="L389" s="130"/>
      <c r="M389" s="130"/>
      <c r="N389" s="130"/>
      <c r="O389" s="130"/>
      <c r="P389" s="130"/>
      <c r="S389" s="883">
        <v>465</v>
      </c>
      <c r="T389" s="878">
        <v>27.7666</v>
      </c>
      <c r="U389" s="878">
        <v>7.5940000000000003</v>
      </c>
      <c r="V389" s="878">
        <v>5.9</v>
      </c>
      <c r="W389" s="878">
        <v>6.0999999999999999E-2</v>
      </c>
      <c r="X389" s="934" t="s">
        <v>610</v>
      </c>
      <c r="Y389" s="933" t="s">
        <v>611</v>
      </c>
      <c r="Z389" s="933" t="s">
        <v>612</v>
      </c>
      <c r="AA389" s="933" t="s">
        <v>613</v>
      </c>
      <c r="AB389" s="933" t="s">
        <v>614</v>
      </c>
      <c r="AC389" s="933" t="s">
        <v>611</v>
      </c>
      <c r="AD389" s="933" t="s">
        <v>612</v>
      </c>
      <c r="AE389" s="933" t="s">
        <v>613</v>
      </c>
      <c r="AF389" s="933" t="s">
        <v>614</v>
      </c>
      <c r="AG389" s="933" t="s">
        <v>611</v>
      </c>
      <c r="AH389" s="933" t="s">
        <v>612</v>
      </c>
      <c r="AI389" s="933" t="s">
        <v>613</v>
      </c>
      <c r="AJ389" s="933" t="s">
        <v>614</v>
      </c>
      <c r="AK389" s="933" t="s">
        <v>611</v>
      </c>
      <c r="AL389" s="933" t="s">
        <v>612</v>
      </c>
      <c r="AM389" s="933" t="s">
        <v>613</v>
      </c>
      <c r="AN389" s="933" t="s">
        <v>614</v>
      </c>
    </row>
    <row r="390" spans="9:40">
      <c r="I390" s="130"/>
      <c r="J390" s="130"/>
      <c r="K390" s="130"/>
      <c r="L390" s="130"/>
      <c r="M390" s="130"/>
      <c r="N390" s="130"/>
      <c r="O390" s="130"/>
      <c r="P390" s="130"/>
      <c r="S390" s="883">
        <v>466</v>
      </c>
      <c r="T390" s="841">
        <f t="shared" ref="T390:W392" si="5">IF(Anal_Input_1&lt;=$Y$388,Y390,IF(Anal_Input_1&lt;=$AC$388,Y390+(AC390-Y390)/($AC$388-$Y$388)*(Anal_Input_1-$Y$388),IF(Anal_Input_1&lt;=$AG$388,AC390+(AG390-AC390)/($AG$388-$AC$388)*(Anal_Input_1-$AC$388),IF(Anal_Input_1&lt;=$AK$388,AG390+(AK390-AG390)/($AK$388-$AG$388)*(Anal_Input_1-$AG$388),AK390))))</f>
        <v>148.35300000000001</v>
      </c>
      <c r="U390" s="841">
        <f t="shared" si="5"/>
        <v>10.83</v>
      </c>
      <c r="V390" s="841">
        <f t="shared" si="5"/>
        <v>0</v>
      </c>
      <c r="W390" s="841">
        <f t="shared" si="5"/>
        <v>7.2999999999999995E-2</v>
      </c>
      <c r="X390" s="934" t="s">
        <v>1101</v>
      </c>
      <c r="Y390" s="831">
        <v>370.8</v>
      </c>
      <c r="Z390" s="831">
        <v>2.5219999999999998</v>
      </c>
      <c r="AA390" s="831">
        <v>0</v>
      </c>
      <c r="AB390" s="831">
        <v>6.7999999999999996E-3</v>
      </c>
      <c r="AC390" s="831">
        <v>370.8</v>
      </c>
      <c r="AD390" s="831">
        <v>12.721</v>
      </c>
      <c r="AE390" s="831">
        <v>0</v>
      </c>
      <c r="AF390" s="831">
        <v>3.4299999999999997E-2</v>
      </c>
      <c r="AG390" s="831">
        <v>206.04599999999999</v>
      </c>
      <c r="AH390" s="831">
        <v>11.271000000000001</v>
      </c>
      <c r="AI390" s="831">
        <v>0</v>
      </c>
      <c r="AJ390" s="831">
        <v>5.4699999999999999E-2</v>
      </c>
      <c r="AK390" s="831">
        <v>148.35300000000001</v>
      </c>
      <c r="AL390" s="831">
        <v>10.83</v>
      </c>
      <c r="AM390" s="831">
        <v>0</v>
      </c>
      <c r="AN390" s="831">
        <v>7.2999999999999995E-2</v>
      </c>
    </row>
    <row r="391" spans="9:40">
      <c r="I391" s="130"/>
      <c r="J391" s="130"/>
      <c r="K391" s="130"/>
      <c r="L391" s="130"/>
      <c r="M391" s="130"/>
      <c r="N391" s="130"/>
      <c r="O391" s="130"/>
      <c r="P391" s="130"/>
      <c r="S391" s="883">
        <v>467</v>
      </c>
      <c r="T391" s="841">
        <f t="shared" si="5"/>
        <v>148.35300000000001</v>
      </c>
      <c r="U391" s="841">
        <f t="shared" si="5"/>
        <v>10.1012</v>
      </c>
      <c r="V391" s="841">
        <f t="shared" si="5"/>
        <v>3.47</v>
      </c>
      <c r="W391" s="841">
        <f t="shared" si="5"/>
        <v>4.4699999999999997E-2</v>
      </c>
      <c r="X391" s="934" t="s">
        <v>3726</v>
      </c>
      <c r="Y391" s="831">
        <v>370.8</v>
      </c>
      <c r="Z391" s="831">
        <v>2.149</v>
      </c>
      <c r="AA391" s="831">
        <v>0.22</v>
      </c>
      <c r="AB391" s="831">
        <v>5.1999999999999998E-3</v>
      </c>
      <c r="AC391" s="831">
        <v>370.8</v>
      </c>
      <c r="AD391" s="831">
        <v>9.8420000000000005</v>
      </c>
      <c r="AE391" s="831">
        <v>1.46</v>
      </c>
      <c r="AF391" s="831">
        <v>2.2599999999999999E-2</v>
      </c>
      <c r="AG391" s="831">
        <v>206.04599999999999</v>
      </c>
      <c r="AH391" s="831">
        <v>9.5980000000000008</v>
      </c>
      <c r="AI391" s="831">
        <v>2.5099999999999998</v>
      </c>
      <c r="AJ391" s="831">
        <v>3.44E-2</v>
      </c>
      <c r="AK391" s="831">
        <v>148.35300000000001</v>
      </c>
      <c r="AL391" s="831">
        <v>10.1012</v>
      </c>
      <c r="AM391" s="831">
        <v>3.47</v>
      </c>
      <c r="AN391" s="831">
        <v>4.4699999999999997E-2</v>
      </c>
    </row>
    <row r="392" spans="9:40">
      <c r="I392" s="130"/>
      <c r="J392" s="130"/>
      <c r="K392" s="130"/>
      <c r="L392" s="130"/>
      <c r="M392" s="130"/>
      <c r="N392" s="130"/>
      <c r="O392" s="130"/>
      <c r="P392" s="130"/>
      <c r="S392" s="883">
        <v>468</v>
      </c>
      <c r="T392" s="841">
        <f t="shared" si="5"/>
        <v>148.35300000000001</v>
      </c>
      <c r="U392" s="841">
        <f t="shared" si="5"/>
        <v>1.994</v>
      </c>
      <c r="V392" s="841">
        <f t="shared" si="5"/>
        <v>0.97</v>
      </c>
      <c r="W392" s="841">
        <f t="shared" si="5"/>
        <v>6.8999999999999999E-3</v>
      </c>
      <c r="X392" s="934" t="s">
        <v>2988</v>
      </c>
      <c r="Y392" s="831">
        <v>370.8</v>
      </c>
      <c r="Z392" s="831">
        <v>0.751</v>
      </c>
      <c r="AA392" s="831">
        <v>0.12</v>
      </c>
      <c r="AB392" s="831">
        <v>1.6999999999999999E-3</v>
      </c>
      <c r="AC392" s="831">
        <v>370.8</v>
      </c>
      <c r="AD392" s="831">
        <v>1.875</v>
      </c>
      <c r="AE392" s="831">
        <v>0.54</v>
      </c>
      <c r="AF392" s="831">
        <v>3.5599999999999998E-3</v>
      </c>
      <c r="AG392" s="831">
        <v>206.04599999999999</v>
      </c>
      <c r="AH392" s="831">
        <v>1.831</v>
      </c>
      <c r="AI392" s="831">
        <v>0.78</v>
      </c>
      <c r="AJ392" s="831">
        <v>5.1000000000000004E-3</v>
      </c>
      <c r="AK392" s="831">
        <v>148.35300000000001</v>
      </c>
      <c r="AL392" s="831">
        <v>1.994</v>
      </c>
      <c r="AM392" s="831">
        <v>0.97</v>
      </c>
      <c r="AN392" s="831">
        <v>6.8999999999999999E-3</v>
      </c>
    </row>
    <row r="393" spans="9:40">
      <c r="S393" s="883">
        <v>469</v>
      </c>
      <c r="T393" s="841">
        <v>0.19633999999999999</v>
      </c>
      <c r="U393" s="841">
        <v>30872.6</v>
      </c>
      <c r="V393" s="841">
        <v>29400</v>
      </c>
      <c r="W393" s="841">
        <v>33277.199999999997</v>
      </c>
    </row>
    <row r="394" spans="9:40">
      <c r="S394" s="883">
        <v>470</v>
      </c>
      <c r="T394" s="841">
        <v>0.19633999999999999</v>
      </c>
      <c r="U394" s="841">
        <v>30872.6</v>
      </c>
      <c r="V394" s="841">
        <v>29400</v>
      </c>
      <c r="W394" s="841">
        <v>32848.5</v>
      </c>
    </row>
    <row r="395" spans="9:40">
      <c r="S395" s="883">
        <v>471</v>
      </c>
      <c r="T395" s="841">
        <v>0.69811999999999996</v>
      </c>
      <c r="U395" s="841">
        <v>12659.7</v>
      </c>
      <c r="V395" s="841">
        <v>8820</v>
      </c>
      <c r="W395" s="841">
        <v>5500</v>
      </c>
    </row>
    <row r="396" spans="9:40">
      <c r="S396" s="842">
        <v>472</v>
      </c>
      <c r="T396" s="831">
        <v>0.19633999999999999</v>
      </c>
      <c r="U396" s="831">
        <v>30872.6</v>
      </c>
      <c r="V396" s="831">
        <v>29400</v>
      </c>
      <c r="W396" s="831">
        <v>33770</v>
      </c>
    </row>
    <row r="397" spans="9:40">
      <c r="S397" s="842">
        <v>473</v>
      </c>
      <c r="T397" s="831">
        <v>0.19633999999999999</v>
      </c>
      <c r="U397" s="831">
        <v>30872.6</v>
      </c>
      <c r="V397" s="831">
        <v>29400</v>
      </c>
      <c r="W397" s="831">
        <v>33450.9</v>
      </c>
    </row>
    <row r="398" spans="9:40">
      <c r="S398" s="842">
        <v>474</v>
      </c>
      <c r="T398" s="831">
        <v>36.215580000000003</v>
      </c>
      <c r="U398" s="831">
        <v>130.67429999999999</v>
      </c>
      <c r="V398" s="831">
        <v>51</v>
      </c>
      <c r="W398" s="831">
        <v>2.2000000000000002</v>
      </c>
    </row>
    <row r="399" spans="9:40">
      <c r="S399" s="842">
        <v>475</v>
      </c>
      <c r="T399" s="831">
        <v>76.794489999999996</v>
      </c>
      <c r="U399" s="831">
        <v>123.1534</v>
      </c>
      <c r="V399" s="831">
        <v>31</v>
      </c>
      <c r="W399" s="831">
        <v>1.2</v>
      </c>
    </row>
    <row r="400" spans="9:40">
      <c r="S400" s="913">
        <v>476</v>
      </c>
      <c r="T400" s="912">
        <v>4.18</v>
      </c>
      <c r="U400" s="912">
        <v>3041</v>
      </c>
      <c r="V400" s="912">
        <v>1700</v>
      </c>
      <c r="W400" s="912">
        <v>320</v>
      </c>
    </row>
    <row r="401" spans="19:23">
      <c r="S401" s="913">
        <v>477</v>
      </c>
      <c r="T401" s="912">
        <v>3.52</v>
      </c>
      <c r="U401" s="912">
        <v>2828</v>
      </c>
      <c r="V401" s="912">
        <v>1700</v>
      </c>
      <c r="W401" s="912">
        <v>320</v>
      </c>
    </row>
    <row r="402" spans="19:23">
      <c r="S402" s="913">
        <v>478</v>
      </c>
      <c r="T402" s="912">
        <v>2.8</v>
      </c>
      <c r="U402" s="912">
        <v>1547</v>
      </c>
      <c r="V402" s="912">
        <v>900</v>
      </c>
      <c r="W402" s="912">
        <v>230</v>
      </c>
    </row>
    <row r="403" spans="19:23">
      <c r="S403" s="913">
        <v>479</v>
      </c>
      <c r="T403" s="912">
        <v>4.18</v>
      </c>
      <c r="U403" s="912">
        <v>3071</v>
      </c>
      <c r="V403" s="912">
        <v>1730</v>
      </c>
      <c r="W403" s="912">
        <v>320</v>
      </c>
    </row>
    <row r="404" spans="19:23">
      <c r="S404" s="913">
        <v>480</v>
      </c>
      <c r="T404" s="912">
        <v>3.52</v>
      </c>
      <c r="U404" s="912">
        <v>2858</v>
      </c>
      <c r="V404" s="912">
        <v>1730</v>
      </c>
      <c r="W404" s="91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baseColWidth="10" defaultColWidth="9.33203125" defaultRowHeight="15"/>
  <cols>
    <col min="1" max="1" width="13.6640625" style="91" customWidth="1"/>
    <col min="2" max="2" width="10" style="91" customWidth="1"/>
    <col min="3" max="3" width="10.1640625" style="91" customWidth="1"/>
    <col min="4" max="4" width="8.83203125" style="91" customWidth="1"/>
    <col min="5" max="5" width="12" style="91" customWidth="1"/>
    <col min="6" max="6" width="87.5" style="91" customWidth="1"/>
    <col min="7" max="8" width="50.83203125" style="91" customWidth="1"/>
    <col min="9" max="9" width="71.33203125" style="91" customWidth="1"/>
    <col min="10" max="10" width="77.83203125" style="91" customWidth="1"/>
    <col min="11" max="11" width="69.33203125" style="91" customWidth="1"/>
    <col min="12" max="13" width="69.33203125" style="432" customWidth="1"/>
    <col min="14" max="14" width="67.1640625" style="194" customWidth="1"/>
    <col min="15" max="15" width="4" style="490" bestFit="1" customWidth="1"/>
    <col min="16" max="21" width="5.83203125" style="194" customWidth="1"/>
    <col min="22" max="22" width="24.33203125" style="194" customWidth="1"/>
    <col min="23" max="23" width="7.83203125" style="194" customWidth="1"/>
    <col min="24" max="24" width="16.1640625" style="194" customWidth="1"/>
    <col min="25" max="16384" width="9.33203125" style="91"/>
  </cols>
  <sheetData>
    <row r="1" spans="1:24" s="178" customFormat="1" ht="16.5">
      <c r="A1" s="178" t="s">
        <v>990</v>
      </c>
      <c r="E1" s="618">
        <f>ROW(A240)</f>
        <v>240</v>
      </c>
      <c r="F1" s="196" t="s">
        <v>2731</v>
      </c>
      <c r="L1" s="432"/>
      <c r="M1" s="432"/>
      <c r="N1" s="523"/>
      <c r="O1" s="535"/>
      <c r="P1" s="523"/>
      <c r="Q1" s="523"/>
      <c r="R1" s="523"/>
      <c r="S1" s="523"/>
      <c r="T1" s="523"/>
      <c r="U1" s="523"/>
      <c r="V1" s="523"/>
      <c r="W1" s="523"/>
      <c r="X1" s="523"/>
    </row>
    <row r="2" spans="1:24">
      <c r="A2" s="91" t="s">
        <v>1464</v>
      </c>
    </row>
    <row r="3" spans="1:24" s="104" customFormat="1">
      <c r="A3" s="113" t="s">
        <v>2949</v>
      </c>
      <c r="B3" s="113"/>
      <c r="C3" s="113"/>
      <c r="D3" s="113"/>
      <c r="E3" s="188">
        <v>1</v>
      </c>
      <c r="F3" s="179" t="str">
        <f>HLOOKUP(E3,F5:N6,2)</f>
        <v>ENGLISH</v>
      </c>
      <c r="L3" s="432"/>
      <c r="M3" s="432"/>
      <c r="N3" s="194"/>
      <c r="O3" s="490"/>
      <c r="P3" s="194"/>
      <c r="Q3" s="194"/>
      <c r="R3" s="194"/>
      <c r="S3" s="194"/>
      <c r="T3" s="194"/>
      <c r="U3" s="194"/>
      <c r="V3" s="194"/>
      <c r="W3" s="518" t="s">
        <v>2290</v>
      </c>
      <c r="X3" s="518"/>
    </row>
    <row r="4" spans="1:24">
      <c r="A4" s="418"/>
      <c r="B4" s="418"/>
      <c r="C4" s="418"/>
      <c r="D4" s="418"/>
      <c r="E4" s="418"/>
      <c r="F4" s="418"/>
      <c r="G4" s="418"/>
      <c r="H4" s="418"/>
      <c r="I4" s="418"/>
      <c r="J4" s="418"/>
      <c r="K4" s="418"/>
      <c r="W4" s="518"/>
      <c r="X4" s="518"/>
    </row>
    <row r="5" spans="1:24" s="180" customFormat="1">
      <c r="A5" s="419"/>
      <c r="B5" s="419"/>
      <c r="C5" s="419"/>
      <c r="D5" s="419"/>
      <c r="E5" s="419"/>
      <c r="F5" s="419">
        <v>1</v>
      </c>
      <c r="G5" s="419">
        <v>2</v>
      </c>
      <c r="H5" s="419">
        <v>3</v>
      </c>
      <c r="I5" s="419">
        <v>4</v>
      </c>
      <c r="J5" s="419">
        <v>5</v>
      </c>
      <c r="K5" s="419">
        <v>6</v>
      </c>
      <c r="L5" s="524">
        <v>7</v>
      </c>
      <c r="M5" s="524">
        <v>8</v>
      </c>
      <c r="N5" s="519">
        <v>9</v>
      </c>
      <c r="O5" s="536"/>
      <c r="P5" s="519"/>
      <c r="Q5" s="519"/>
      <c r="R5" s="519"/>
      <c r="S5" s="519"/>
      <c r="T5" s="519"/>
      <c r="U5" s="519"/>
      <c r="V5" s="519"/>
      <c r="W5" s="520">
        <v>1</v>
      </c>
      <c r="X5" s="520" t="s">
        <v>708</v>
      </c>
    </row>
    <row r="6" spans="1:24" s="177" customFormat="1">
      <c r="A6" s="177" t="s">
        <v>3093</v>
      </c>
      <c r="B6" s="177" t="s">
        <v>3206</v>
      </c>
      <c r="C6" s="177" t="s">
        <v>3041</v>
      </c>
      <c r="D6" s="177" t="s">
        <v>1271</v>
      </c>
      <c r="E6" s="177" t="s">
        <v>606</v>
      </c>
      <c r="F6" s="177" t="s">
        <v>2810</v>
      </c>
      <c r="G6" s="177" t="s">
        <v>1452</v>
      </c>
      <c r="H6" s="177" t="s">
        <v>2237</v>
      </c>
      <c r="I6" s="177" t="s">
        <v>605</v>
      </c>
      <c r="J6" s="177" t="s">
        <v>3002</v>
      </c>
      <c r="K6" s="177" t="s">
        <v>3512</v>
      </c>
      <c r="L6" s="525" t="s">
        <v>1402</v>
      </c>
      <c r="M6" s="525" t="s">
        <v>1403</v>
      </c>
      <c r="N6" s="519" t="s">
        <v>1958</v>
      </c>
      <c r="O6" s="490" t="s">
        <v>2132</v>
      </c>
      <c r="P6" s="519" t="s">
        <v>2133</v>
      </c>
      <c r="Q6" s="519" t="s">
        <v>2134</v>
      </c>
      <c r="R6" s="519"/>
      <c r="S6" s="519"/>
      <c r="T6" s="519"/>
      <c r="U6" s="519"/>
      <c r="V6" s="519"/>
      <c r="W6" s="520">
        <v>2</v>
      </c>
      <c r="X6" s="520" t="s">
        <v>709</v>
      </c>
    </row>
    <row r="7" spans="1:24" s="177" customFormat="1">
      <c r="A7" s="528" t="str">
        <f t="shared" ref="A7:A65" ca="1" si="0">OFFSET(E7,0,$E$3)</f>
        <v>Read Me</v>
      </c>
      <c r="B7" s="528" t="s">
        <v>3500</v>
      </c>
      <c r="C7" s="528">
        <v>1</v>
      </c>
      <c r="D7" s="528">
        <v>1</v>
      </c>
      <c r="E7" s="528" t="s">
        <v>1510</v>
      </c>
      <c r="F7" s="528" t="s">
        <v>582</v>
      </c>
      <c r="G7" s="528" t="s">
        <v>583</v>
      </c>
      <c r="H7" s="528" t="s">
        <v>2399</v>
      </c>
      <c r="I7" s="528" t="s">
        <v>2347</v>
      </c>
      <c r="J7" s="528" t="s">
        <v>2348</v>
      </c>
      <c r="K7" s="528" t="s">
        <v>2349</v>
      </c>
      <c r="L7" s="491" t="s">
        <v>2295</v>
      </c>
      <c r="M7" s="491" t="s">
        <v>3525</v>
      </c>
      <c r="N7" s="490" t="s">
        <v>3511</v>
      </c>
      <c r="O7" s="536">
        <v>0</v>
      </c>
      <c r="P7" s="519"/>
      <c r="Q7" s="519"/>
      <c r="R7" s="519"/>
      <c r="S7" s="519"/>
      <c r="T7" s="519"/>
      <c r="U7" s="519"/>
      <c r="V7" s="519"/>
      <c r="W7" s="520">
        <v>3</v>
      </c>
      <c r="X7" s="520" t="s">
        <v>3711</v>
      </c>
    </row>
    <row r="8" spans="1:24" s="177" customFormat="1">
      <c r="A8" s="528" t="str">
        <f t="shared" ca="1" si="0"/>
        <v>Read Me</v>
      </c>
      <c r="B8" s="528" t="s">
        <v>3501</v>
      </c>
      <c r="C8" s="528">
        <v>1</v>
      </c>
      <c r="D8" s="528" t="s">
        <v>3740</v>
      </c>
      <c r="E8" s="528" t="s">
        <v>2090</v>
      </c>
      <c r="F8" s="528" t="s">
        <v>582</v>
      </c>
      <c r="G8" s="528" t="s">
        <v>583</v>
      </c>
      <c r="H8" s="528" t="s">
        <v>2399</v>
      </c>
      <c r="I8" s="528" t="s">
        <v>2347</v>
      </c>
      <c r="J8" s="528" t="s">
        <v>2348</v>
      </c>
      <c r="K8" s="528" t="s">
        <v>2349</v>
      </c>
      <c r="L8" s="491" t="s">
        <v>2295</v>
      </c>
      <c r="M8" s="491" t="s">
        <v>3525</v>
      </c>
      <c r="N8" s="490" t="s">
        <v>3511</v>
      </c>
      <c r="O8" s="536">
        <v>0</v>
      </c>
      <c r="P8" s="519"/>
      <c r="Q8" s="519"/>
      <c r="R8" s="519"/>
      <c r="S8" s="519"/>
      <c r="T8" s="519"/>
      <c r="U8" s="519"/>
      <c r="V8" s="519"/>
      <c r="W8" s="520">
        <v>4</v>
      </c>
      <c r="X8" s="520" t="s">
        <v>710</v>
      </c>
    </row>
    <row r="9" spans="1:24" s="177" customFormat="1">
      <c r="A9" s="528" t="str">
        <f t="shared" ca="1" si="0"/>
        <v>DISCLAIMER</v>
      </c>
      <c r="B9" s="528" t="s">
        <v>3501</v>
      </c>
      <c r="C9" s="528">
        <v>1</v>
      </c>
      <c r="D9" s="528" t="s">
        <v>3741</v>
      </c>
      <c r="E9" s="528"/>
      <c r="F9" s="528" t="s">
        <v>3742</v>
      </c>
      <c r="G9" s="528" t="s">
        <v>2938</v>
      </c>
      <c r="H9" s="528" t="s">
        <v>2939</v>
      </c>
      <c r="I9" s="528" t="s">
        <v>2940</v>
      </c>
      <c r="J9" s="528" t="s">
        <v>3678</v>
      </c>
      <c r="K9" s="528" t="s">
        <v>3509</v>
      </c>
      <c r="L9" s="491" t="s">
        <v>3143</v>
      </c>
      <c r="M9" s="491" t="s">
        <v>3219</v>
      </c>
      <c r="N9" s="490" t="s">
        <v>456</v>
      </c>
      <c r="O9" s="536">
        <v>0</v>
      </c>
      <c r="P9" s="519"/>
      <c r="Q9" s="519"/>
      <c r="R9" s="519"/>
      <c r="S9" s="519"/>
      <c r="T9" s="519"/>
      <c r="U9" s="519"/>
      <c r="V9" s="519"/>
      <c r="W9" s="520">
        <v>5</v>
      </c>
      <c r="X9" s="520" t="s">
        <v>1423</v>
      </c>
    </row>
    <row r="10" spans="1:24" s="177" customFormat="1" ht="293.25">
      <c r="A10" s="528"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528" t="s">
        <v>3501</v>
      </c>
      <c r="C10" s="528">
        <v>1</v>
      </c>
      <c r="D10" s="528" t="s">
        <v>3679</v>
      </c>
      <c r="E10" s="528"/>
      <c r="F10" s="435" t="s">
        <v>1995</v>
      </c>
      <c r="G10" s="435" t="s">
        <v>538</v>
      </c>
      <c r="H10" s="435" t="s">
        <v>1067</v>
      </c>
      <c r="I10" s="435" t="s">
        <v>3142</v>
      </c>
      <c r="J10" s="435" t="s">
        <v>892</v>
      </c>
      <c r="K10" s="435" t="s">
        <v>2238</v>
      </c>
      <c r="L10" s="493" t="s">
        <v>3677</v>
      </c>
      <c r="M10" s="493" t="s">
        <v>3059</v>
      </c>
      <c r="N10" s="494" t="s">
        <v>2622</v>
      </c>
      <c r="O10" s="536">
        <v>0</v>
      </c>
      <c r="P10" s="519"/>
      <c r="Q10" s="519"/>
      <c r="R10" s="519"/>
      <c r="S10" s="519"/>
      <c r="T10" s="519"/>
      <c r="U10" s="519"/>
      <c r="V10" s="519"/>
      <c r="W10" s="520">
        <v>6</v>
      </c>
      <c r="X10" s="520" t="s">
        <v>1040</v>
      </c>
    </row>
    <row r="11" spans="1:24" s="177" customFormat="1" ht="38.25">
      <c r="A11" s="528" t="str">
        <f t="shared" ca="1" si="0"/>
        <v>This Excel Workbook has been created as a tool to check the Robot Wrist Load Status. It is designed to answer the following basic questions:</v>
      </c>
      <c r="B11" s="528" t="s">
        <v>3501</v>
      </c>
      <c r="C11" s="528">
        <v>1</v>
      </c>
      <c r="D11" s="528" t="s">
        <v>3680</v>
      </c>
      <c r="E11" s="529" t="s">
        <v>2147</v>
      </c>
      <c r="F11" s="528" t="s">
        <v>325</v>
      </c>
      <c r="G11" s="528" t="s">
        <v>1659</v>
      </c>
      <c r="H11" s="528" t="s">
        <v>3544</v>
      </c>
      <c r="I11" s="528" t="s">
        <v>69</v>
      </c>
      <c r="J11" s="264" t="s">
        <v>70</v>
      </c>
      <c r="K11" s="530" t="s">
        <v>194</v>
      </c>
      <c r="L11" s="495" t="s">
        <v>3061</v>
      </c>
      <c r="M11" s="495" t="s">
        <v>2275</v>
      </c>
      <c r="N11" s="192" t="s">
        <v>3060</v>
      </c>
      <c r="O11" s="536">
        <v>0</v>
      </c>
      <c r="P11" s="519"/>
      <c r="Q11" s="519"/>
      <c r="R11" s="519"/>
      <c r="S11" s="519"/>
      <c r="T11" s="519"/>
      <c r="U11" s="519"/>
      <c r="V11" s="519"/>
      <c r="W11" s="520">
        <v>7</v>
      </c>
      <c r="X11" s="520" t="s">
        <v>540</v>
      </c>
    </row>
    <row r="12" spans="1:24" s="177" customFormat="1">
      <c r="A12" s="528" t="str">
        <f t="shared" ca="1" si="0"/>
        <v>Are the Wrist Moments within the capacity of the robot?</v>
      </c>
      <c r="B12" s="528" t="s">
        <v>3501</v>
      </c>
      <c r="C12" s="528">
        <v>1</v>
      </c>
      <c r="D12" s="528" t="s">
        <v>3545</v>
      </c>
      <c r="E12" s="529" t="s">
        <v>2148</v>
      </c>
      <c r="F12" s="528" t="s">
        <v>33</v>
      </c>
      <c r="G12" s="528" t="s">
        <v>34</v>
      </c>
      <c r="H12" s="528" t="s">
        <v>2282</v>
      </c>
      <c r="I12" s="264" t="s">
        <v>1407</v>
      </c>
      <c r="J12" s="264" t="s">
        <v>1408</v>
      </c>
      <c r="K12" s="264" t="s">
        <v>1409</v>
      </c>
      <c r="L12" s="495" t="s">
        <v>2249</v>
      </c>
      <c r="M12" s="495" t="s">
        <v>2857</v>
      </c>
      <c r="N12" s="192" t="s">
        <v>2276</v>
      </c>
      <c r="O12" s="536">
        <v>0</v>
      </c>
      <c r="P12" s="519"/>
      <c r="Q12" s="519"/>
      <c r="R12" s="519"/>
      <c r="S12" s="519"/>
      <c r="T12" s="519"/>
      <c r="U12" s="519"/>
      <c r="V12" s="519"/>
      <c r="W12" s="521">
        <v>8</v>
      </c>
      <c r="X12" s="521" t="s">
        <v>55</v>
      </c>
    </row>
    <row r="13" spans="1:24" s="177" customFormat="1">
      <c r="A13" s="528" t="str">
        <f t="shared" ca="1" si="0"/>
        <v>Are the Wrist Inertias within the capacity of the robot</v>
      </c>
      <c r="B13" s="528" t="s">
        <v>3501</v>
      </c>
      <c r="C13" s="528">
        <v>1</v>
      </c>
      <c r="D13" s="528" t="s">
        <v>2283</v>
      </c>
      <c r="E13" s="529" t="s">
        <v>1004</v>
      </c>
      <c r="F13" s="528" t="s">
        <v>2411</v>
      </c>
      <c r="G13" s="528" t="s">
        <v>3714</v>
      </c>
      <c r="H13" s="528" t="s">
        <v>722</v>
      </c>
      <c r="I13" s="264" t="s">
        <v>1986</v>
      </c>
      <c r="J13" s="264" t="s">
        <v>2209</v>
      </c>
      <c r="K13" s="264" t="s">
        <v>226</v>
      </c>
      <c r="L13" s="495" t="s">
        <v>3245</v>
      </c>
      <c r="M13" s="495" t="s">
        <v>3513</v>
      </c>
      <c r="N13" s="192" t="s">
        <v>3244</v>
      </c>
      <c r="O13" s="536">
        <v>0</v>
      </c>
      <c r="P13" s="519"/>
      <c r="Q13" s="519"/>
      <c r="R13" s="519"/>
      <c r="S13" s="519"/>
      <c r="T13" s="519"/>
      <c r="U13" s="519"/>
      <c r="V13" s="519"/>
      <c r="W13" s="520">
        <v>9</v>
      </c>
      <c r="X13" s="520" t="s">
        <v>1041</v>
      </c>
    </row>
    <row r="14" spans="1:24" s="177" customFormat="1">
      <c r="A14" s="528" t="str">
        <f t="shared" ca="1" si="0"/>
        <v>Is the use of the robot approved ?</v>
      </c>
      <c r="B14" s="531" t="s">
        <v>3501</v>
      </c>
      <c r="C14" s="531">
        <v>1</v>
      </c>
      <c r="D14" s="531" t="s">
        <v>3353</v>
      </c>
      <c r="E14" s="529" t="s">
        <v>3354</v>
      </c>
      <c r="F14" s="528" t="s">
        <v>3355</v>
      </c>
      <c r="G14" s="528" t="s">
        <v>937</v>
      </c>
      <c r="H14" s="528" t="s">
        <v>2538</v>
      </c>
      <c r="I14" s="264" t="s">
        <v>3707</v>
      </c>
      <c r="J14" s="264" t="s">
        <v>1498</v>
      </c>
      <c r="K14" s="264" t="s">
        <v>1512</v>
      </c>
      <c r="L14" s="495" t="s">
        <v>3247</v>
      </c>
      <c r="M14" s="495" t="s">
        <v>2858</v>
      </c>
      <c r="N14" s="192" t="s">
        <v>3246</v>
      </c>
      <c r="O14" s="536">
        <v>0</v>
      </c>
      <c r="P14" s="519"/>
      <c r="Q14" s="519"/>
      <c r="R14" s="519"/>
      <c r="S14" s="519"/>
      <c r="T14" s="519"/>
      <c r="U14" s="519"/>
      <c r="V14" s="519"/>
      <c r="W14" s="522"/>
      <c r="X14" s="522"/>
    </row>
    <row r="15" spans="1:24" s="177" customFormat="1">
      <c r="A15" s="528" t="str">
        <f t="shared" ca="1" si="0"/>
        <v>The payload data can be entered in two ways:</v>
      </c>
      <c r="B15" s="531" t="s">
        <v>3501</v>
      </c>
      <c r="C15" s="531">
        <v>1</v>
      </c>
      <c r="D15" s="497" t="s">
        <v>2539</v>
      </c>
      <c r="E15" s="529" t="s">
        <v>1471</v>
      </c>
      <c r="F15" s="528" t="s">
        <v>2540</v>
      </c>
      <c r="G15" s="528" t="s">
        <v>2253</v>
      </c>
      <c r="H15" s="528" t="s">
        <v>465</v>
      </c>
      <c r="I15" s="528" t="s">
        <v>1902</v>
      </c>
      <c r="J15" s="264" t="s">
        <v>2516</v>
      </c>
      <c r="K15" s="264" t="s">
        <v>2517</v>
      </c>
      <c r="L15" s="495" t="s">
        <v>3248</v>
      </c>
      <c r="M15" s="495" t="s">
        <v>2859</v>
      </c>
      <c r="N15" s="192" t="s">
        <v>2518</v>
      </c>
      <c r="O15" s="536">
        <v>0</v>
      </c>
      <c r="P15" s="519"/>
      <c r="Q15" s="519"/>
      <c r="R15" s="519"/>
      <c r="S15" s="519"/>
      <c r="T15" s="519"/>
      <c r="U15" s="519"/>
      <c r="V15" s="519"/>
      <c r="W15" s="522"/>
      <c r="X15" s="522"/>
    </row>
    <row r="16" spans="1:24" s="177" customFormat="1">
      <c r="A16" s="528" t="str">
        <f t="shared" ca="1" si="0"/>
        <v>If the moments and inertias relative to the robot axes are known, they can be entered directly as Axis Values</v>
      </c>
      <c r="B16" s="531" t="s">
        <v>3501</v>
      </c>
      <c r="C16" s="531">
        <v>1</v>
      </c>
      <c r="D16" s="497" t="s">
        <v>466</v>
      </c>
      <c r="E16" s="529" t="s">
        <v>1472</v>
      </c>
      <c r="F16" s="528" t="s">
        <v>571</v>
      </c>
      <c r="G16" s="528" t="s">
        <v>1363</v>
      </c>
      <c r="H16" s="528" t="s">
        <v>3447</v>
      </c>
      <c r="I16" s="264" t="s">
        <v>2519</v>
      </c>
      <c r="J16" s="264" t="s">
        <v>1545</v>
      </c>
      <c r="K16" s="264" t="s">
        <v>1084</v>
      </c>
      <c r="L16" s="495" t="s">
        <v>1120</v>
      </c>
      <c r="M16" s="495" t="s">
        <v>1345</v>
      </c>
      <c r="N16" s="192" t="s">
        <v>1827</v>
      </c>
      <c r="O16" s="536">
        <v>0</v>
      </c>
      <c r="P16" s="519"/>
      <c r="Q16" s="519"/>
      <c r="R16" s="519"/>
      <c r="S16" s="519"/>
      <c r="T16" s="519"/>
      <c r="U16" s="519"/>
      <c r="V16" s="519"/>
      <c r="W16" s="522"/>
      <c r="X16" s="522"/>
    </row>
    <row r="17" spans="1:24" s="177" customFormat="1" ht="76.5">
      <c r="A17" s="528" t="str">
        <f t="shared" ca="1" si="0"/>
        <v>If the moments and inertias are not known, then the payload Centre of Gravity data can be entered as mass, centre of gravity, and self-inertia
The moments and inertias are calculated and transferred automatically.</v>
      </c>
      <c r="B17" s="531" t="s">
        <v>3501</v>
      </c>
      <c r="C17" s="531">
        <v>1</v>
      </c>
      <c r="D17" s="497" t="s">
        <v>3448</v>
      </c>
      <c r="E17" s="529" t="s">
        <v>1473</v>
      </c>
      <c r="F17" s="435" t="s">
        <v>269</v>
      </c>
      <c r="G17" s="435" t="s">
        <v>166</v>
      </c>
      <c r="H17" s="528" t="s">
        <v>3175</v>
      </c>
      <c r="I17" s="532" t="s">
        <v>3341</v>
      </c>
      <c r="J17" s="532" t="s">
        <v>1073</v>
      </c>
      <c r="K17" s="532" t="s">
        <v>3218</v>
      </c>
      <c r="L17" s="499" t="s">
        <v>1121</v>
      </c>
      <c r="M17" s="499" t="s">
        <v>3237</v>
      </c>
      <c r="N17" s="500" t="s">
        <v>90</v>
      </c>
      <c r="O17" s="536">
        <v>0</v>
      </c>
      <c r="P17" s="519"/>
      <c r="Q17" s="519"/>
      <c r="R17" s="519"/>
      <c r="S17" s="519"/>
      <c r="T17" s="519"/>
      <c r="U17" s="519"/>
      <c r="V17" s="519"/>
      <c r="W17" s="522"/>
      <c r="X17" s="522"/>
    </row>
    <row r="18" spans="1:24" s="177" customFormat="1">
      <c r="A18" s="528" t="str">
        <f t="shared" ca="1" si="0"/>
        <v>The values can be entered in SI units, or in PID ( Payload Identification) units.</v>
      </c>
      <c r="B18" s="531" t="s">
        <v>3501</v>
      </c>
      <c r="C18" s="531">
        <v>1</v>
      </c>
      <c r="D18" s="497" t="s">
        <v>1074</v>
      </c>
      <c r="E18" s="529" t="s">
        <v>3754</v>
      </c>
      <c r="F18" s="528" t="s">
        <v>1075</v>
      </c>
      <c r="G18" s="528" t="s">
        <v>557</v>
      </c>
      <c r="H18" s="528" t="s">
        <v>1551</v>
      </c>
      <c r="I18" s="264" t="s">
        <v>2912</v>
      </c>
      <c r="J18" s="264" t="s">
        <v>2316</v>
      </c>
      <c r="K18" s="264" t="s">
        <v>2900</v>
      </c>
      <c r="L18" s="495" t="s">
        <v>1601</v>
      </c>
      <c r="M18" s="495" t="s">
        <v>3238</v>
      </c>
      <c r="N18" s="192" t="s">
        <v>2901</v>
      </c>
      <c r="O18" s="536">
        <v>0</v>
      </c>
      <c r="P18" s="519"/>
      <c r="Q18" s="519"/>
      <c r="R18" s="519"/>
      <c r="S18" s="519"/>
      <c r="T18" s="519"/>
      <c r="U18" s="519"/>
      <c r="V18" s="519"/>
      <c r="W18" s="522"/>
      <c r="X18" s="522"/>
    </row>
    <row r="19" spans="1:24" s="177" customFormat="1" ht="38.25">
      <c r="A19" s="528" t="str">
        <f t="shared" ca="1" si="0"/>
        <v>The different robot models can be selected from the list. To see the effect of changing model type simply select the new robot model</v>
      </c>
      <c r="B19" s="531" t="s">
        <v>3501</v>
      </c>
      <c r="C19" s="531">
        <v>1</v>
      </c>
      <c r="D19" s="497" t="s">
        <v>1552</v>
      </c>
      <c r="E19" s="529" t="s">
        <v>2223</v>
      </c>
      <c r="F19" s="528" t="s">
        <v>1429</v>
      </c>
      <c r="G19" s="528" t="s">
        <v>2524</v>
      </c>
      <c r="H19" s="528" t="s">
        <v>1124</v>
      </c>
      <c r="I19" s="264" t="s">
        <v>2902</v>
      </c>
      <c r="J19" s="264" t="s">
        <v>550</v>
      </c>
      <c r="K19" s="530" t="s">
        <v>2450</v>
      </c>
      <c r="L19" s="495" t="s">
        <v>1602</v>
      </c>
      <c r="M19" s="495" t="s">
        <v>3401</v>
      </c>
      <c r="N19" s="192" t="s">
        <v>113</v>
      </c>
      <c r="O19" s="536">
        <v>0</v>
      </c>
      <c r="P19" s="519"/>
      <c r="Q19" s="519"/>
      <c r="R19" s="519"/>
      <c r="S19" s="519"/>
      <c r="T19" s="519"/>
      <c r="U19" s="519"/>
      <c r="V19" s="519"/>
      <c r="W19" s="522"/>
      <c r="X19" s="522"/>
    </row>
    <row r="20" spans="1:24" s="177" customFormat="1">
      <c r="A20" s="528" t="str">
        <f t="shared" ca="1" si="0"/>
        <v>There are two types of result data, the Summary results, and the Detailed results.</v>
      </c>
      <c r="B20" s="531" t="s">
        <v>3501</v>
      </c>
      <c r="C20" s="531">
        <v>1</v>
      </c>
      <c r="D20" s="497" t="s">
        <v>1125</v>
      </c>
      <c r="E20" s="529" t="s">
        <v>531</v>
      </c>
      <c r="F20" s="528" t="s">
        <v>1126</v>
      </c>
      <c r="G20" s="528" t="s">
        <v>1160</v>
      </c>
      <c r="H20" s="528" t="s">
        <v>1828</v>
      </c>
      <c r="I20" s="264" t="s">
        <v>114</v>
      </c>
      <c r="J20" s="264" t="s">
        <v>115</v>
      </c>
      <c r="K20" s="264" t="s">
        <v>485</v>
      </c>
      <c r="L20" s="495" t="s">
        <v>1603</v>
      </c>
      <c r="M20" s="495" t="s">
        <v>2613</v>
      </c>
      <c r="N20" s="192" t="s">
        <v>486</v>
      </c>
      <c r="O20" s="536">
        <v>0</v>
      </c>
      <c r="P20" s="519"/>
      <c r="Q20" s="519"/>
      <c r="R20" s="519"/>
      <c r="S20" s="519"/>
      <c r="T20" s="519"/>
      <c r="U20" s="519"/>
      <c r="V20" s="519"/>
      <c r="W20" s="522"/>
      <c r="X20" s="522"/>
    </row>
    <row r="21" spans="1:24" s="177" customFormat="1" ht="38.25">
      <c r="A21" s="528" t="str">
        <f t="shared" ca="1" si="0"/>
        <v>For a robot to be approved, the Summary results should all be 'OK'. The meanings of the summary results are shown on the "Key to Results" tab.</v>
      </c>
      <c r="B21" s="531" t="s">
        <v>3501</v>
      </c>
      <c r="C21" s="531">
        <v>1</v>
      </c>
      <c r="D21" s="497" t="s">
        <v>1829</v>
      </c>
      <c r="E21" s="529" t="s">
        <v>2500</v>
      </c>
      <c r="F21" s="528" t="s">
        <v>369</v>
      </c>
      <c r="G21" s="528" t="s">
        <v>3508</v>
      </c>
      <c r="H21" s="528" t="s">
        <v>2014</v>
      </c>
      <c r="I21" s="264" t="s">
        <v>1085</v>
      </c>
      <c r="J21" s="264" t="s">
        <v>3086</v>
      </c>
      <c r="K21" s="530" t="s">
        <v>169</v>
      </c>
      <c r="L21" s="495" t="s">
        <v>3840</v>
      </c>
      <c r="M21" s="495" t="s">
        <v>3841</v>
      </c>
      <c r="N21" s="192" t="s">
        <v>947</v>
      </c>
      <c r="O21" s="536">
        <v>0</v>
      </c>
      <c r="P21" s="519"/>
      <c r="Q21" s="519"/>
      <c r="R21" s="519"/>
      <c r="S21" s="519"/>
      <c r="T21" s="519"/>
      <c r="U21" s="519"/>
      <c r="V21" s="519"/>
      <c r="W21" s="522"/>
      <c r="X21" s="522"/>
    </row>
    <row r="22" spans="1:24" s="177" customFormat="1" ht="102">
      <c r="A22" s="528"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531" t="s">
        <v>3501</v>
      </c>
      <c r="C22" s="531">
        <v>1</v>
      </c>
      <c r="D22" s="497" t="s">
        <v>3087</v>
      </c>
      <c r="E22" s="529" t="s">
        <v>2928</v>
      </c>
      <c r="F22" s="435" t="s">
        <v>3722</v>
      </c>
      <c r="G22" s="435" t="s">
        <v>2796</v>
      </c>
      <c r="H22" s="435" t="s">
        <v>2899</v>
      </c>
      <c r="I22" s="532" t="s">
        <v>3685</v>
      </c>
      <c r="J22" s="532" t="s">
        <v>3739</v>
      </c>
      <c r="K22" s="530" t="s">
        <v>2353</v>
      </c>
      <c r="L22" s="499" t="s">
        <v>281</v>
      </c>
      <c r="M22" s="499" t="s">
        <v>2314</v>
      </c>
      <c r="N22" s="500" t="s">
        <v>3649</v>
      </c>
      <c r="O22" s="536">
        <v>0</v>
      </c>
      <c r="P22" s="519"/>
      <c r="Q22" s="519"/>
      <c r="R22" s="519"/>
      <c r="S22" s="519"/>
      <c r="T22" s="519"/>
      <c r="U22" s="519"/>
      <c r="V22" s="519"/>
      <c r="W22" s="522"/>
      <c r="X22" s="522"/>
    </row>
    <row r="23" spans="1:24" s="177" customFormat="1">
      <c r="A23" s="528" t="str">
        <f t="shared" ca="1" si="0"/>
        <v>This Workbook has following restrictions.</v>
      </c>
      <c r="B23" s="531" t="s">
        <v>3501</v>
      </c>
      <c r="C23" s="531">
        <v>1</v>
      </c>
      <c r="D23" s="497" t="s">
        <v>2354</v>
      </c>
      <c r="E23" s="528" t="s">
        <v>2355</v>
      </c>
      <c r="F23" s="528" t="s">
        <v>2356</v>
      </c>
      <c r="G23" s="528" t="s">
        <v>1556</v>
      </c>
      <c r="H23" s="528" t="s">
        <v>1557</v>
      </c>
      <c r="I23" s="418" t="s">
        <v>2648</v>
      </c>
      <c r="J23" s="528" t="s">
        <v>3583</v>
      </c>
      <c r="K23" s="418" t="s">
        <v>2649</v>
      </c>
      <c r="L23" s="432" t="s">
        <v>282</v>
      </c>
      <c r="M23" s="432" t="s">
        <v>2315</v>
      </c>
      <c r="N23" s="194" t="s">
        <v>2650</v>
      </c>
      <c r="O23" s="536">
        <v>0</v>
      </c>
      <c r="P23" s="519"/>
      <c r="Q23" s="519"/>
      <c r="R23" s="519"/>
      <c r="S23" s="519"/>
      <c r="T23" s="519"/>
      <c r="U23" s="519"/>
      <c r="V23" s="519"/>
      <c r="W23" s="522"/>
      <c r="X23" s="522"/>
    </row>
    <row r="24" spans="1:24" s="177" customFormat="1">
      <c r="A24" s="528" t="str">
        <f t="shared" ca="1" si="0"/>
        <v>Some macros in this Workbook may not work on Excel97.</v>
      </c>
      <c r="B24" s="531" t="s">
        <v>3501</v>
      </c>
      <c r="C24" s="531">
        <v>1</v>
      </c>
      <c r="D24" s="497" t="s">
        <v>3584</v>
      </c>
      <c r="E24" s="528" t="s">
        <v>3585</v>
      </c>
      <c r="F24" s="528" t="s">
        <v>3586</v>
      </c>
      <c r="G24" s="528" t="s">
        <v>2707</v>
      </c>
      <c r="H24" s="528" t="s">
        <v>1298</v>
      </c>
      <c r="I24" s="418" t="s">
        <v>105</v>
      </c>
      <c r="J24" s="418" t="s">
        <v>2687</v>
      </c>
      <c r="K24" s="418" t="s">
        <v>455</v>
      </c>
      <c r="L24" s="432" t="s">
        <v>284</v>
      </c>
      <c r="M24" s="432" t="s">
        <v>3612</v>
      </c>
      <c r="N24" s="194" t="s">
        <v>1775</v>
      </c>
      <c r="O24" s="536">
        <v>0</v>
      </c>
      <c r="P24" s="519"/>
      <c r="Q24" s="519"/>
      <c r="R24" s="519"/>
      <c r="S24" s="519"/>
      <c r="T24" s="519"/>
      <c r="U24" s="519"/>
      <c r="V24" s="519"/>
      <c r="W24" s="522"/>
      <c r="X24" s="522"/>
    </row>
    <row r="25" spans="1:24" s="177" customFormat="1">
      <c r="A25" s="528" t="str">
        <f t="shared" ca="1" si="0"/>
        <v>Default paper size is A4. Please set necessary page size manually.</v>
      </c>
      <c r="B25" s="531" t="s">
        <v>3501</v>
      </c>
      <c r="C25" s="531">
        <v>1</v>
      </c>
      <c r="D25" s="497" t="s">
        <v>1299</v>
      </c>
      <c r="E25" s="528" t="s">
        <v>1300</v>
      </c>
      <c r="F25" s="528" t="s">
        <v>1301</v>
      </c>
      <c r="G25" s="528" t="s">
        <v>1541</v>
      </c>
      <c r="H25" s="528" t="s">
        <v>1542</v>
      </c>
      <c r="I25" s="418" t="s">
        <v>1776</v>
      </c>
      <c r="J25" s="418" t="s">
        <v>109</v>
      </c>
      <c r="K25" s="418" t="s">
        <v>110</v>
      </c>
      <c r="L25" s="432" t="s">
        <v>2790</v>
      </c>
      <c r="M25" s="432" t="s">
        <v>2791</v>
      </c>
      <c r="N25" s="194" t="s">
        <v>253</v>
      </c>
      <c r="O25" s="536">
        <v>0</v>
      </c>
      <c r="P25" s="519"/>
      <c r="Q25" s="519"/>
      <c r="R25" s="519"/>
      <c r="S25" s="519"/>
      <c r="T25" s="519"/>
      <c r="U25" s="519"/>
      <c r="V25" s="519"/>
      <c r="W25" s="522"/>
      <c r="X25" s="522"/>
    </row>
    <row r="26" spans="1:24" s="177" customFormat="1">
      <c r="A26" s="528" t="str">
        <f t="shared" ca="1" si="0"/>
        <v>This workbook needs special treatment to work on French Windows because of Microsoft protection issue.</v>
      </c>
      <c r="B26" s="531" t="s">
        <v>3501</v>
      </c>
      <c r="C26" s="531">
        <v>1</v>
      </c>
      <c r="D26" s="497" t="s">
        <v>1543</v>
      </c>
      <c r="E26" s="528" t="s">
        <v>1544</v>
      </c>
      <c r="F26" s="528" t="s">
        <v>2345</v>
      </c>
      <c r="G26" s="528" t="s">
        <v>2346</v>
      </c>
      <c r="H26" s="528" t="s">
        <v>3270</v>
      </c>
      <c r="I26" s="418" t="s">
        <v>1548</v>
      </c>
      <c r="J26" s="418" t="s">
        <v>2844</v>
      </c>
      <c r="K26" s="418" t="s">
        <v>3334</v>
      </c>
      <c r="L26" s="432" t="s">
        <v>1127</v>
      </c>
      <c r="M26" s="432" t="s">
        <v>2792</v>
      </c>
      <c r="N26" s="194" t="s">
        <v>3025</v>
      </c>
      <c r="O26" s="536">
        <v>0</v>
      </c>
      <c r="P26" s="519"/>
      <c r="Q26" s="519"/>
      <c r="R26" s="519"/>
      <c r="S26" s="519"/>
      <c r="T26" s="519"/>
      <c r="U26" s="519"/>
      <c r="V26" s="519"/>
      <c r="W26" s="522"/>
      <c r="X26" s="522"/>
    </row>
    <row r="27" spans="1:24" s="177" customFormat="1">
      <c r="A27" s="528" t="str">
        <f t="shared" ca="1" si="0"/>
        <v>System Requirements</v>
      </c>
      <c r="B27" s="531" t="s">
        <v>3501</v>
      </c>
      <c r="C27" s="531">
        <v>1</v>
      </c>
      <c r="D27" s="497" t="s">
        <v>678</v>
      </c>
      <c r="E27" s="528" t="s">
        <v>175</v>
      </c>
      <c r="F27" s="528" t="s">
        <v>176</v>
      </c>
      <c r="G27" s="528" t="s">
        <v>177</v>
      </c>
      <c r="H27" s="528" t="s">
        <v>178</v>
      </c>
      <c r="I27" s="418" t="s">
        <v>3026</v>
      </c>
      <c r="J27" s="418" t="s">
        <v>3417</v>
      </c>
      <c r="K27" s="418" t="s">
        <v>3418</v>
      </c>
      <c r="L27" s="432" t="s">
        <v>1128</v>
      </c>
      <c r="M27" s="432" t="s">
        <v>3144</v>
      </c>
      <c r="N27" s="194" t="s">
        <v>1699</v>
      </c>
      <c r="O27" s="536">
        <v>0</v>
      </c>
      <c r="P27" s="519"/>
      <c r="Q27" s="519"/>
      <c r="R27" s="519"/>
      <c r="S27" s="519"/>
      <c r="T27" s="519"/>
      <c r="U27" s="519"/>
      <c r="V27" s="519"/>
      <c r="W27" s="522"/>
      <c r="X27" s="522"/>
    </row>
    <row r="28" spans="1:24" s="177" customFormat="1">
      <c r="A28" s="528" t="str">
        <f t="shared" ca="1" si="0"/>
        <v>Personal computer on which Excel2000 or later is installed.</v>
      </c>
      <c r="B28" s="531" t="s">
        <v>3501</v>
      </c>
      <c r="C28" s="531">
        <v>1</v>
      </c>
      <c r="D28" s="497" t="s">
        <v>179</v>
      </c>
      <c r="E28" s="528" t="s">
        <v>180</v>
      </c>
      <c r="F28" s="488" t="s">
        <v>3326</v>
      </c>
      <c r="G28" s="488" t="s">
        <v>3327</v>
      </c>
      <c r="H28" s="488" t="s">
        <v>3328</v>
      </c>
      <c r="I28" s="181" t="s">
        <v>3329</v>
      </c>
      <c r="J28" s="181" t="s">
        <v>3330</v>
      </c>
      <c r="K28" s="181" t="s">
        <v>3331</v>
      </c>
      <c r="L28" s="768" t="s">
        <v>3332</v>
      </c>
      <c r="M28" s="768" t="s">
        <v>3333</v>
      </c>
      <c r="N28" s="193" t="s">
        <v>2806</v>
      </c>
      <c r="O28" s="536">
        <v>0</v>
      </c>
      <c r="P28" s="519"/>
      <c r="Q28" s="519"/>
      <c r="R28" s="519"/>
      <c r="S28" s="519"/>
      <c r="T28" s="519"/>
      <c r="U28" s="519"/>
      <c r="V28" s="519"/>
      <c r="W28" s="522"/>
      <c r="X28" s="522"/>
    </row>
    <row r="29" spans="1:24" s="177" customFormat="1" ht="75">
      <c r="A29" s="528" t="str">
        <f t="shared" ca="1" si="0"/>
        <v>Note. This Workbook has been confirmed by Excel 2007(Japan) on Windows Vista(Japan) &amp; Excel 2010(Japan) on Windows 7(Japan) &amp; Excel 2013(Japan) on Windows 8(Japan).</v>
      </c>
      <c r="B29" s="531" t="s">
        <v>3501</v>
      </c>
      <c r="C29" s="531">
        <v>1</v>
      </c>
      <c r="D29" s="497" t="s">
        <v>3818</v>
      </c>
      <c r="E29" s="498"/>
      <c r="F29" s="943" t="s">
        <v>3857</v>
      </c>
      <c r="G29" s="943" t="s">
        <v>3858</v>
      </c>
      <c r="H29" s="943" t="s">
        <v>3859</v>
      </c>
      <c r="I29" s="944" t="s">
        <v>3860</v>
      </c>
      <c r="J29" s="944" t="s">
        <v>3861</v>
      </c>
      <c r="K29" s="944" t="s">
        <v>3862</v>
      </c>
      <c r="L29" s="945" t="s">
        <v>3863</v>
      </c>
      <c r="M29" s="945" t="s">
        <v>3864</v>
      </c>
      <c r="N29" s="946" t="s">
        <v>3865</v>
      </c>
      <c r="O29" s="536">
        <v>0</v>
      </c>
      <c r="P29" s="519"/>
      <c r="Q29" s="519"/>
      <c r="R29" s="519"/>
      <c r="S29" s="519"/>
      <c r="T29" s="519"/>
      <c r="U29" s="519"/>
      <c r="V29" s="519"/>
      <c r="W29" s="522"/>
      <c r="X29" s="522"/>
    </row>
    <row r="30" spans="1:24" s="177" customFormat="1">
      <c r="A30" s="528"/>
      <c r="B30" s="531"/>
      <c r="C30" s="531"/>
      <c r="D30" s="497"/>
      <c r="E30" s="498"/>
      <c r="F30" s="435"/>
      <c r="G30" s="435"/>
      <c r="H30" s="435"/>
      <c r="I30" s="420"/>
      <c r="J30" s="420"/>
      <c r="K30" s="420"/>
      <c r="L30" s="501"/>
      <c r="M30" s="501"/>
      <c r="N30" s="195"/>
      <c r="O30" s="536"/>
      <c r="P30" s="519"/>
      <c r="Q30" s="519"/>
      <c r="R30" s="519"/>
      <c r="S30" s="519"/>
      <c r="T30" s="519"/>
      <c r="U30" s="519"/>
      <c r="V30" s="519"/>
      <c r="W30" s="522"/>
      <c r="X30" s="522"/>
    </row>
    <row r="31" spans="1:24" s="180" customFormat="1">
      <c r="A31" s="528" t="str">
        <f t="shared" ca="1" si="0"/>
        <v>Instructions</v>
      </c>
      <c r="B31" s="528" t="s">
        <v>3500</v>
      </c>
      <c r="C31" s="528">
        <v>2</v>
      </c>
      <c r="D31" s="528">
        <v>2</v>
      </c>
      <c r="E31" s="528" t="s">
        <v>1510</v>
      </c>
      <c r="F31" s="528" t="s">
        <v>121</v>
      </c>
      <c r="G31" s="435" t="s">
        <v>121</v>
      </c>
      <c r="H31" s="435" t="s">
        <v>122</v>
      </c>
      <c r="I31" s="420" t="s">
        <v>2860</v>
      </c>
      <c r="J31" s="420" t="s">
        <v>2861</v>
      </c>
      <c r="K31" s="420" t="s">
        <v>2614</v>
      </c>
      <c r="L31" s="501" t="s">
        <v>2793</v>
      </c>
      <c r="M31" s="501" t="s">
        <v>2794</v>
      </c>
      <c r="N31" s="195" t="s">
        <v>541</v>
      </c>
      <c r="O31" s="536">
        <v>0</v>
      </c>
      <c r="P31" s="519"/>
      <c r="Q31" s="519"/>
      <c r="R31" s="519"/>
      <c r="S31" s="519"/>
      <c r="T31" s="519"/>
      <c r="U31" s="519"/>
      <c r="V31" s="519"/>
      <c r="W31" s="522"/>
      <c r="X31" s="522"/>
    </row>
    <row r="32" spans="1:24" s="180" customFormat="1">
      <c r="A32" s="528" t="str">
        <f t="shared" ca="1" si="0"/>
        <v>Instructions</v>
      </c>
      <c r="B32" s="531" t="s">
        <v>3501</v>
      </c>
      <c r="C32" s="531">
        <v>2</v>
      </c>
      <c r="D32" s="528" t="s">
        <v>1384</v>
      </c>
      <c r="E32" s="533"/>
      <c r="F32" s="528" t="s">
        <v>2081</v>
      </c>
      <c r="G32" s="528" t="s">
        <v>2082</v>
      </c>
      <c r="H32" s="528" t="s">
        <v>3323</v>
      </c>
      <c r="I32" s="528" t="s">
        <v>3324</v>
      </c>
      <c r="J32" s="528" t="s">
        <v>3856</v>
      </c>
      <c r="K32" s="528" t="s">
        <v>2614</v>
      </c>
      <c r="L32" s="491" t="s">
        <v>2793</v>
      </c>
      <c r="M32" s="503" t="s">
        <v>2794</v>
      </c>
      <c r="N32" s="490" t="s">
        <v>541</v>
      </c>
      <c r="O32" s="536">
        <v>0</v>
      </c>
      <c r="P32" s="519"/>
      <c r="Q32" s="519"/>
      <c r="R32" s="519"/>
      <c r="S32" s="519"/>
      <c r="T32" s="519"/>
      <c r="U32" s="519"/>
      <c r="V32" s="519"/>
      <c r="W32" s="522"/>
      <c r="X32" s="522"/>
    </row>
    <row r="33" spans="1:24" s="180" customFormat="1" ht="30">
      <c r="A33" s="528" t="str">
        <f t="shared" ca="1" si="0"/>
        <v>Make sure that EXCEL is set up to Enable Macros ( Tools &gt; Macro &gt; Security )</v>
      </c>
      <c r="B33" s="531" t="s">
        <v>3501</v>
      </c>
      <c r="C33" s="531">
        <v>2</v>
      </c>
      <c r="D33" s="528" t="s">
        <v>1385</v>
      </c>
      <c r="E33" s="264" t="s">
        <v>2076</v>
      </c>
      <c r="F33" s="532" t="s">
        <v>870</v>
      </c>
      <c r="G33" s="264" t="s">
        <v>3416</v>
      </c>
      <c r="H33" s="264" t="s">
        <v>2523</v>
      </c>
      <c r="I33" s="264" t="s">
        <v>398</v>
      </c>
      <c r="J33" s="532" t="s">
        <v>300</v>
      </c>
      <c r="K33" s="532" t="s">
        <v>2294</v>
      </c>
      <c r="L33" s="499" t="s">
        <v>1129</v>
      </c>
      <c r="M33" s="499" t="s">
        <v>660</v>
      </c>
      <c r="N33" s="500" t="s">
        <v>27</v>
      </c>
      <c r="O33" s="536">
        <v>0</v>
      </c>
      <c r="P33" s="519"/>
      <c r="Q33" s="519"/>
      <c r="R33" s="519"/>
      <c r="S33" s="519"/>
      <c r="T33" s="519"/>
      <c r="U33" s="519"/>
      <c r="V33" s="519"/>
      <c r="W33" s="522"/>
      <c r="X33" s="522"/>
    </row>
    <row r="34" spans="1:24" s="180" customFormat="1">
      <c r="A34" s="528" t="str">
        <f t="shared" ca="1" si="0"/>
        <v>Select Sheet "Robot Analysis"</v>
      </c>
      <c r="B34" s="531" t="s">
        <v>3501</v>
      </c>
      <c r="C34" s="531">
        <v>2</v>
      </c>
      <c r="D34" s="528" t="s">
        <v>2937</v>
      </c>
      <c r="E34" s="264" t="s">
        <v>1289</v>
      </c>
      <c r="F34" s="532" t="s">
        <v>2333</v>
      </c>
      <c r="G34" s="264" t="s">
        <v>28</v>
      </c>
      <c r="H34" s="264" t="s">
        <v>950</v>
      </c>
      <c r="I34" s="264" t="s">
        <v>951</v>
      </c>
      <c r="J34" s="532" t="s">
        <v>1222</v>
      </c>
      <c r="K34" s="532" t="s">
        <v>3075</v>
      </c>
      <c r="L34" s="499" t="s">
        <v>1130</v>
      </c>
      <c r="M34" s="499" t="s">
        <v>661</v>
      </c>
      <c r="N34" s="500" t="s">
        <v>1652</v>
      </c>
      <c r="O34" s="536">
        <v>0</v>
      </c>
      <c r="P34" s="519"/>
      <c r="Q34" s="519"/>
      <c r="R34" s="519"/>
      <c r="S34" s="519"/>
      <c r="T34" s="519"/>
      <c r="U34" s="519"/>
      <c r="V34" s="519"/>
      <c r="W34" s="522"/>
      <c r="X34" s="522"/>
    </row>
    <row r="35" spans="1:24" s="180" customFormat="1">
      <c r="A35" s="528" t="str">
        <f t="shared" ca="1" si="0"/>
        <v>Select the Robot Type</v>
      </c>
      <c r="B35" s="531" t="s">
        <v>3501</v>
      </c>
      <c r="C35" s="531">
        <v>2</v>
      </c>
      <c r="D35" s="528" t="s">
        <v>1653</v>
      </c>
      <c r="E35" s="264" t="s">
        <v>2334</v>
      </c>
      <c r="F35" s="532" t="s">
        <v>2624</v>
      </c>
      <c r="G35" s="264" t="s">
        <v>1654</v>
      </c>
      <c r="H35" s="264" t="s">
        <v>1655</v>
      </c>
      <c r="I35" s="264" t="s">
        <v>384</v>
      </c>
      <c r="J35" s="532" t="s">
        <v>385</v>
      </c>
      <c r="K35" s="532" t="s">
        <v>386</v>
      </c>
      <c r="L35" s="499" t="s">
        <v>662</v>
      </c>
      <c r="M35" s="499" t="s">
        <v>387</v>
      </c>
      <c r="N35" s="500" t="s">
        <v>2038</v>
      </c>
      <c r="O35" s="536">
        <v>0</v>
      </c>
      <c r="P35" s="519"/>
      <c r="Q35" s="519"/>
      <c r="R35" s="519"/>
      <c r="S35" s="519"/>
      <c r="T35" s="519"/>
      <c r="U35" s="519"/>
      <c r="V35" s="519"/>
      <c r="W35" s="522"/>
      <c r="X35" s="522"/>
    </row>
    <row r="36" spans="1:24" s="180" customFormat="1" ht="27">
      <c r="A36" s="528" t="str">
        <f t="shared" ca="1" si="0"/>
        <v>Select the Payload Input Type</v>
      </c>
      <c r="B36" s="531" t="s">
        <v>3501</v>
      </c>
      <c r="C36" s="531">
        <v>2</v>
      </c>
      <c r="D36" s="528" t="s">
        <v>1697</v>
      </c>
      <c r="E36" s="264" t="s">
        <v>3478</v>
      </c>
      <c r="F36" s="532" t="s">
        <v>1288</v>
      </c>
      <c r="G36" s="264" t="s">
        <v>1698</v>
      </c>
      <c r="H36" s="264" t="s">
        <v>1235</v>
      </c>
      <c r="I36" s="264" t="s">
        <v>1236</v>
      </c>
      <c r="J36" s="532" t="s">
        <v>1237</v>
      </c>
      <c r="K36" s="532" t="s">
        <v>1886</v>
      </c>
      <c r="L36" s="499" t="s">
        <v>663</v>
      </c>
      <c r="M36" s="499" t="s">
        <v>1238</v>
      </c>
      <c r="N36" s="500" t="s">
        <v>1239</v>
      </c>
      <c r="O36" s="536">
        <v>0</v>
      </c>
      <c r="P36" s="519"/>
      <c r="Q36" s="519"/>
      <c r="R36" s="519"/>
      <c r="S36" s="519"/>
      <c r="T36" s="519"/>
      <c r="U36" s="519"/>
      <c r="V36" s="519"/>
      <c r="W36" s="522"/>
      <c r="X36" s="522"/>
    </row>
    <row r="37" spans="1:24" s="180" customFormat="1" ht="39.75">
      <c r="A37" s="528" t="str">
        <f t="shared" ca="1" si="0"/>
        <v>CofG-SI: Input Tool Payload CofG Data in SI Units and the Axis Moments &amp; Inertias will be calculated</v>
      </c>
      <c r="B37" s="531" t="s">
        <v>3501</v>
      </c>
      <c r="C37" s="531">
        <v>2</v>
      </c>
      <c r="D37" s="528" t="s">
        <v>1240</v>
      </c>
      <c r="E37" s="533"/>
      <c r="F37" s="534" t="s">
        <v>1852</v>
      </c>
      <c r="G37" s="534" t="s">
        <v>1241</v>
      </c>
      <c r="H37" s="534" t="s">
        <v>1242</v>
      </c>
      <c r="I37" s="532" t="s">
        <v>265</v>
      </c>
      <c r="J37" s="534" t="s">
        <v>383</v>
      </c>
      <c r="K37" s="534" t="s">
        <v>1437</v>
      </c>
      <c r="L37" s="499" t="s">
        <v>664</v>
      </c>
      <c r="M37" s="499" t="s">
        <v>3262</v>
      </c>
      <c r="N37" s="504" t="s">
        <v>542</v>
      </c>
      <c r="O37" s="536">
        <v>0</v>
      </c>
      <c r="P37" s="519"/>
      <c r="Q37" s="519"/>
      <c r="R37" s="519"/>
      <c r="S37" s="519"/>
      <c r="T37" s="519"/>
      <c r="U37" s="519"/>
      <c r="V37" s="519"/>
      <c r="W37" s="522"/>
      <c r="X37" s="522"/>
    </row>
    <row r="38" spans="1:24" s="180" customFormat="1" ht="39.75">
      <c r="A38" s="528" t="str">
        <f t="shared" ca="1" si="0"/>
        <v xml:space="preserve">CofG-PID: Input Tool Payload CofG Data to check the results of the Payload ID Function </v>
      </c>
      <c r="B38" s="531" t="s">
        <v>3501</v>
      </c>
      <c r="C38" s="531">
        <v>2</v>
      </c>
      <c r="D38" s="528" t="s">
        <v>1438</v>
      </c>
      <c r="E38" s="533"/>
      <c r="F38" s="532" t="s">
        <v>1853</v>
      </c>
      <c r="G38" s="532" t="s">
        <v>1037</v>
      </c>
      <c r="H38" s="532" t="s">
        <v>3176</v>
      </c>
      <c r="I38" s="532" t="s">
        <v>3177</v>
      </c>
      <c r="J38" s="532" t="s">
        <v>3547</v>
      </c>
      <c r="K38" s="532" t="s">
        <v>2321</v>
      </c>
      <c r="L38" s="499" t="s">
        <v>1131</v>
      </c>
      <c r="M38" s="499" t="s">
        <v>1388</v>
      </c>
      <c r="N38" s="500" t="s">
        <v>3145</v>
      </c>
      <c r="O38" s="536">
        <v>0</v>
      </c>
      <c r="P38" s="519"/>
      <c r="Q38" s="519"/>
      <c r="R38" s="519"/>
      <c r="S38" s="519"/>
      <c r="T38" s="519"/>
      <c r="U38" s="519"/>
      <c r="V38" s="519"/>
      <c r="W38" s="522"/>
      <c r="X38" s="522"/>
    </row>
    <row r="39" spans="1:24" s="180" customFormat="1" ht="38.25">
      <c r="A39" s="528" t="str">
        <f t="shared" ca="1" si="0"/>
        <v>Axis-SI: Input Calculated or Measured Moments &amp; Inertias relative to each Axis</v>
      </c>
      <c r="B39" s="531" t="s">
        <v>3501</v>
      </c>
      <c r="C39" s="531">
        <v>2</v>
      </c>
      <c r="D39" s="528" t="s">
        <v>2322</v>
      </c>
      <c r="E39" s="533"/>
      <c r="F39" s="532" t="s">
        <v>3613</v>
      </c>
      <c r="G39" s="532" t="s">
        <v>321</v>
      </c>
      <c r="H39" s="532" t="s">
        <v>322</v>
      </c>
      <c r="I39" s="532" t="s">
        <v>3614</v>
      </c>
      <c r="J39" s="532" t="s">
        <v>323</v>
      </c>
      <c r="K39" s="532" t="s">
        <v>3615</v>
      </c>
      <c r="L39" s="499" t="s">
        <v>1132</v>
      </c>
      <c r="M39" s="499" t="s">
        <v>1389</v>
      </c>
      <c r="N39" s="500" t="s">
        <v>3147</v>
      </c>
      <c r="O39" s="536">
        <v>0</v>
      </c>
      <c r="P39" s="519"/>
      <c r="Q39" s="519"/>
      <c r="R39" s="519"/>
      <c r="S39" s="519"/>
      <c r="T39" s="519"/>
      <c r="U39" s="519"/>
      <c r="V39" s="519"/>
      <c r="W39" s="522"/>
      <c r="X39" s="522"/>
    </row>
    <row r="40" spans="1:24" s="180" customFormat="1" ht="39.75">
      <c r="A40" s="528" t="str">
        <f t="shared" ca="1" si="0"/>
        <v xml:space="preserve">Axis-PID: Input Axis Moments &amp; Inertias to check the results of the Payload ID Function </v>
      </c>
      <c r="B40" s="531" t="s">
        <v>3501</v>
      </c>
      <c r="C40" s="531">
        <v>2</v>
      </c>
      <c r="D40" s="528" t="s">
        <v>324</v>
      </c>
      <c r="E40" s="533"/>
      <c r="F40" s="532" t="s">
        <v>173</v>
      </c>
      <c r="G40" s="532" t="s">
        <v>881</v>
      </c>
      <c r="H40" s="532" t="s">
        <v>952</v>
      </c>
      <c r="I40" s="532" t="s">
        <v>174</v>
      </c>
      <c r="J40" s="532" t="s">
        <v>3705</v>
      </c>
      <c r="K40" s="532" t="s">
        <v>2591</v>
      </c>
      <c r="L40" s="499" t="s">
        <v>3566</v>
      </c>
      <c r="M40" s="499" t="s">
        <v>1390</v>
      </c>
      <c r="N40" s="500" t="s">
        <v>539</v>
      </c>
      <c r="O40" s="536">
        <v>0</v>
      </c>
      <c r="P40" s="519"/>
      <c r="Q40" s="519"/>
      <c r="R40" s="519"/>
      <c r="S40" s="519"/>
      <c r="T40" s="519"/>
      <c r="U40" s="519"/>
      <c r="V40" s="519"/>
      <c r="W40" s="522"/>
      <c r="X40" s="522"/>
    </row>
    <row r="41" spans="1:24" s="180" customFormat="1" ht="75">
      <c r="A41" s="488" t="str">
        <f t="shared" ca="1" si="0"/>
        <v>Box:     Input Box Data to Multi_Payload sheet and Combined CofG-SI data of Box will be calculated</v>
      </c>
      <c r="B41" s="496" t="s">
        <v>3501</v>
      </c>
      <c r="C41" s="496">
        <v>2</v>
      </c>
      <c r="D41" s="488" t="s">
        <v>3706</v>
      </c>
      <c r="E41" s="502"/>
      <c r="F41" s="176" t="s">
        <v>1296</v>
      </c>
      <c r="G41" s="176" t="s">
        <v>1094</v>
      </c>
      <c r="H41" s="176" t="s">
        <v>1297</v>
      </c>
      <c r="I41" s="176" t="s">
        <v>3296</v>
      </c>
      <c r="J41" s="176" t="s">
        <v>417</v>
      </c>
      <c r="K41" s="176" t="s">
        <v>3297</v>
      </c>
      <c r="L41" s="499" t="s">
        <v>3298</v>
      </c>
      <c r="M41" s="499" t="s">
        <v>3299</v>
      </c>
      <c r="N41" s="500" t="s">
        <v>1263</v>
      </c>
      <c r="O41" s="180">
        <v>0</v>
      </c>
      <c r="W41" s="608"/>
      <c r="X41" s="608"/>
    </row>
    <row r="42" spans="1:24" s="180" customFormat="1">
      <c r="A42" s="528" t="str">
        <f t="shared" ca="1" si="0"/>
        <v>Enter Payload Input Data according to the Payload Input Type</v>
      </c>
      <c r="B42" s="531" t="s">
        <v>3501</v>
      </c>
      <c r="C42" s="531">
        <v>2</v>
      </c>
      <c r="D42" s="528" t="s">
        <v>418</v>
      </c>
      <c r="E42" s="264" t="s">
        <v>3539</v>
      </c>
      <c r="F42" s="532" t="s">
        <v>3400</v>
      </c>
      <c r="G42" s="264" t="s">
        <v>368</v>
      </c>
      <c r="H42" s="264" t="s">
        <v>2770</v>
      </c>
      <c r="I42" s="264" t="s">
        <v>1092</v>
      </c>
      <c r="J42" s="532" t="s">
        <v>3027</v>
      </c>
      <c r="K42" s="532" t="s">
        <v>3028</v>
      </c>
      <c r="L42" s="499" t="s">
        <v>3567</v>
      </c>
      <c r="M42" s="499" t="s">
        <v>1391</v>
      </c>
      <c r="N42" s="595" t="s">
        <v>3477</v>
      </c>
      <c r="O42" s="536">
        <v>0</v>
      </c>
      <c r="P42" s="519"/>
      <c r="Q42" s="519"/>
      <c r="R42" s="519"/>
      <c r="S42" s="519"/>
      <c r="T42" s="519"/>
      <c r="U42" s="519"/>
      <c r="V42" s="519"/>
      <c r="W42" s="522"/>
      <c r="X42" s="522"/>
    </row>
    <row r="43" spans="1:24" s="180" customFormat="1">
      <c r="A43" s="528" t="str">
        <f t="shared" ca="1" si="0"/>
        <v>Enter Reference Data for Robot Analysis Sheet</v>
      </c>
      <c r="B43" s="531" t="s">
        <v>3501</v>
      </c>
      <c r="C43" s="531">
        <v>2</v>
      </c>
      <c r="D43" s="528" t="s">
        <v>419</v>
      </c>
      <c r="E43" s="264" t="s">
        <v>2556</v>
      </c>
      <c r="F43" s="532" t="s">
        <v>887</v>
      </c>
      <c r="G43" s="264" t="s">
        <v>1530</v>
      </c>
      <c r="H43" s="264" t="s">
        <v>559</v>
      </c>
      <c r="I43" s="264" t="s">
        <v>560</v>
      </c>
      <c r="J43" s="532" t="s">
        <v>2798</v>
      </c>
      <c r="K43" s="532" t="s">
        <v>2799</v>
      </c>
      <c r="L43" s="499" t="s">
        <v>703</v>
      </c>
      <c r="M43" s="499" t="s">
        <v>2119</v>
      </c>
      <c r="N43" s="500" t="s">
        <v>3752</v>
      </c>
      <c r="O43" s="536">
        <v>0</v>
      </c>
      <c r="P43" s="519"/>
      <c r="Q43" s="519"/>
      <c r="R43" s="519"/>
      <c r="S43" s="519"/>
      <c r="T43" s="519"/>
      <c r="U43" s="519"/>
      <c r="V43" s="519"/>
      <c r="W43" s="522"/>
      <c r="X43" s="522"/>
    </row>
    <row r="44" spans="1:24" s="180" customFormat="1" ht="65.25">
      <c r="A44" s="528" t="str">
        <f t="shared" ca="1" si="0"/>
        <v>Review Results - see details on Sheet "Key to Results"</v>
      </c>
      <c r="B44" s="531" t="s">
        <v>3501</v>
      </c>
      <c r="C44" s="531">
        <v>2</v>
      </c>
      <c r="D44" s="528" t="s">
        <v>420</v>
      </c>
      <c r="E44" s="264" t="s">
        <v>888</v>
      </c>
      <c r="F44" s="532" t="s">
        <v>2227</v>
      </c>
      <c r="G44" s="264" t="s">
        <v>836</v>
      </c>
      <c r="H44" s="532" t="s">
        <v>1686</v>
      </c>
      <c r="I44" s="264" t="s">
        <v>837</v>
      </c>
      <c r="J44" s="532" t="s">
        <v>779</v>
      </c>
      <c r="K44" s="532" t="s">
        <v>780</v>
      </c>
      <c r="L44" s="499" t="s">
        <v>717</v>
      </c>
      <c r="M44" s="499" t="s">
        <v>1923</v>
      </c>
      <c r="N44" s="500" t="s">
        <v>781</v>
      </c>
      <c r="O44" s="536">
        <v>0</v>
      </c>
      <c r="P44" s="519"/>
      <c r="Q44" s="519"/>
      <c r="R44" s="519"/>
      <c r="S44" s="519"/>
      <c r="T44" s="519"/>
      <c r="U44" s="519"/>
      <c r="V44" s="519"/>
      <c r="W44" s="522"/>
      <c r="X44" s="522"/>
    </row>
    <row r="45" spans="1:24" s="180" customFormat="1" ht="30">
      <c r="A45" s="528" t="str">
        <f t="shared" ca="1" si="0"/>
        <v>Save Robot Data from Robot Analysis Sheet to Summary Sheet</v>
      </c>
      <c r="B45" s="531" t="s">
        <v>3501</v>
      </c>
      <c r="C45" s="531">
        <v>2</v>
      </c>
      <c r="D45" s="528" t="s">
        <v>421</v>
      </c>
      <c r="E45" s="264" t="s">
        <v>3812</v>
      </c>
      <c r="F45" s="532" t="s">
        <v>2848</v>
      </c>
      <c r="G45" s="264" t="s">
        <v>53</v>
      </c>
      <c r="H45" s="264" t="s">
        <v>54</v>
      </c>
      <c r="I45" s="264" t="s">
        <v>2245</v>
      </c>
      <c r="J45" s="532" t="s">
        <v>3149</v>
      </c>
      <c r="K45" s="532" t="s">
        <v>3150</v>
      </c>
      <c r="L45" s="499" t="s">
        <v>3302</v>
      </c>
      <c r="M45" s="499" t="s">
        <v>718</v>
      </c>
      <c r="N45" s="500" t="s">
        <v>3151</v>
      </c>
      <c r="O45" s="536">
        <v>0</v>
      </c>
      <c r="P45" s="519"/>
      <c r="Q45" s="519"/>
      <c r="R45" s="519"/>
      <c r="S45" s="519"/>
      <c r="T45" s="519"/>
      <c r="U45" s="519"/>
      <c r="V45" s="519"/>
      <c r="W45" s="522"/>
      <c r="X45" s="522"/>
    </row>
    <row r="46" spans="1:24" s="180" customFormat="1" ht="30">
      <c r="A46" s="528" t="str">
        <f t="shared" ca="1" si="0"/>
        <v>Repeat Steps 1-7 for all robots in the cell / group / line</v>
      </c>
      <c r="B46" s="531" t="s">
        <v>3501</v>
      </c>
      <c r="C46" s="531">
        <v>2</v>
      </c>
      <c r="D46" s="528" t="s">
        <v>422</v>
      </c>
      <c r="E46" s="533"/>
      <c r="F46" s="174" t="s">
        <v>774</v>
      </c>
      <c r="G46" s="141" t="s">
        <v>2785</v>
      </c>
      <c r="H46" s="141" t="s">
        <v>767</v>
      </c>
      <c r="I46" s="141" t="s">
        <v>470</v>
      </c>
      <c r="J46" s="174" t="s">
        <v>471</v>
      </c>
      <c r="K46" s="174" t="s">
        <v>1693</v>
      </c>
      <c r="L46" s="505" t="s">
        <v>3303</v>
      </c>
      <c r="M46" s="505" t="s">
        <v>1392</v>
      </c>
      <c r="N46" s="506" t="s">
        <v>1694</v>
      </c>
      <c r="O46" s="536">
        <v>0</v>
      </c>
      <c r="P46" s="519"/>
      <c r="Q46" s="519"/>
      <c r="R46" s="519"/>
      <c r="S46" s="519"/>
      <c r="T46" s="519"/>
      <c r="U46" s="519"/>
      <c r="V46" s="519"/>
      <c r="W46" s="522"/>
      <c r="X46" s="522"/>
    </row>
    <row r="47" spans="1:24" s="180" customFormat="1">
      <c r="A47" s="488" t="str">
        <f t="shared" ca="1" si="0"/>
        <v>Enter Reference Data for Summary Sheet</v>
      </c>
      <c r="B47" s="496" t="s">
        <v>3501</v>
      </c>
      <c r="C47" s="496">
        <v>2</v>
      </c>
      <c r="D47" s="488" t="s">
        <v>423</v>
      </c>
      <c r="E47" s="3" t="s">
        <v>3813</v>
      </c>
      <c r="F47" s="176" t="s">
        <v>248</v>
      </c>
      <c r="G47" s="3" t="s">
        <v>1695</v>
      </c>
      <c r="H47" s="3" t="s">
        <v>1696</v>
      </c>
      <c r="I47" s="3" t="s">
        <v>3736</v>
      </c>
      <c r="J47" s="176" t="s">
        <v>1243</v>
      </c>
      <c r="K47" s="176" t="s">
        <v>1244</v>
      </c>
      <c r="L47" s="499" t="s">
        <v>3305</v>
      </c>
      <c r="M47" s="499" t="s">
        <v>3304</v>
      </c>
      <c r="N47" s="500" t="s">
        <v>1245</v>
      </c>
      <c r="O47" s="536">
        <v>0</v>
      </c>
      <c r="P47" s="519"/>
      <c r="Q47" s="519"/>
      <c r="R47" s="519"/>
      <c r="S47" s="519"/>
      <c r="T47" s="519"/>
      <c r="U47" s="519"/>
      <c r="V47" s="519"/>
      <c r="W47" s="522"/>
      <c r="X47" s="522"/>
    </row>
    <row r="48" spans="1:24" s="180" customFormat="1" ht="90.75">
      <c r="A48" s="488" t="str">
        <f t="shared" ca="1" si="0"/>
        <v>Save Summary Sheet to a separate Excel file
(Note that Summary Sheet is Unprotected for your convenience Please be careful when modifying this sheet)</v>
      </c>
      <c r="B48" s="496" t="s">
        <v>3501</v>
      </c>
      <c r="C48" s="496">
        <v>2</v>
      </c>
      <c r="D48" s="488" t="s">
        <v>424</v>
      </c>
      <c r="E48" s="3" t="s">
        <v>3814</v>
      </c>
      <c r="F48" s="176" t="s">
        <v>3815</v>
      </c>
      <c r="G48" s="176" t="s">
        <v>1106</v>
      </c>
      <c r="H48" s="176" t="s">
        <v>1135</v>
      </c>
      <c r="I48" s="176" t="s">
        <v>3548</v>
      </c>
      <c r="J48" s="176" t="s">
        <v>3663</v>
      </c>
      <c r="K48" s="176" t="s">
        <v>3681</v>
      </c>
      <c r="L48" s="499" t="s">
        <v>3163</v>
      </c>
      <c r="M48" s="499" t="s">
        <v>3684</v>
      </c>
      <c r="N48" s="500" t="s">
        <v>3403</v>
      </c>
      <c r="O48" s="536">
        <v>0</v>
      </c>
      <c r="P48" s="519"/>
      <c r="Q48" s="519"/>
      <c r="R48" s="519"/>
      <c r="S48" s="519"/>
      <c r="T48" s="519"/>
      <c r="U48" s="519"/>
      <c r="V48" s="519"/>
      <c r="W48" s="522"/>
      <c r="X48" s="522"/>
    </row>
    <row r="49" spans="1:24" s="180" customFormat="1" ht="116.25">
      <c r="A49" s="488" t="str">
        <f t="shared" ca="1" si="0"/>
        <v>Export Data for the Teach Pendant Payload Input Screen to text file
This data is exported in comma delimited format
The file name is "Robot Station#, Robot E#.payload"
The file is made in the same folder as the payload checker</v>
      </c>
      <c r="B49" s="496" t="s">
        <v>3501</v>
      </c>
      <c r="C49" s="496">
        <v>2</v>
      </c>
      <c r="D49" s="488" t="s">
        <v>425</v>
      </c>
      <c r="E49" s="175" t="s">
        <v>3682</v>
      </c>
      <c r="F49" s="492" t="s">
        <v>2313</v>
      </c>
      <c r="G49" s="176" t="s">
        <v>2603</v>
      </c>
      <c r="H49" s="176" t="s">
        <v>819</v>
      </c>
      <c r="I49" s="492" t="s">
        <v>2843</v>
      </c>
      <c r="J49" s="492" t="s">
        <v>1195</v>
      </c>
      <c r="K49" s="492" t="s">
        <v>381</v>
      </c>
      <c r="L49" s="493" t="s">
        <v>3108</v>
      </c>
      <c r="M49" s="499" t="s">
        <v>760</v>
      </c>
      <c r="N49" s="500" t="s">
        <v>3419</v>
      </c>
      <c r="O49" s="536">
        <v>0</v>
      </c>
      <c r="P49" s="519"/>
      <c r="Q49" s="519"/>
      <c r="R49" s="519"/>
      <c r="S49" s="519"/>
      <c r="T49" s="519"/>
      <c r="U49" s="519"/>
      <c r="V49" s="519"/>
      <c r="W49" s="522"/>
      <c r="X49" s="522"/>
    </row>
    <row r="50" spans="1:24" s="180" customFormat="1">
      <c r="A50" s="488" t="str">
        <f t="shared" ca="1" si="0"/>
        <v>Multi Payload function</v>
      </c>
      <c r="B50" s="496" t="s">
        <v>3501</v>
      </c>
      <c r="C50" s="496">
        <v>2</v>
      </c>
      <c r="D50" s="488" t="s">
        <v>1843</v>
      </c>
      <c r="E50" s="175" t="s">
        <v>1844</v>
      </c>
      <c r="F50" s="492" t="s">
        <v>1845</v>
      </c>
      <c r="G50" s="176" t="s">
        <v>1247</v>
      </c>
      <c r="H50" s="176" t="s">
        <v>1248</v>
      </c>
      <c r="I50" s="492" t="s">
        <v>1249</v>
      </c>
      <c r="J50" s="492" t="s">
        <v>2531</v>
      </c>
      <c r="K50" s="492" t="s">
        <v>1250</v>
      </c>
      <c r="L50" s="493" t="s">
        <v>1251</v>
      </c>
      <c r="M50" s="499" t="s">
        <v>1252</v>
      </c>
      <c r="N50" s="500" t="s">
        <v>1253</v>
      </c>
      <c r="O50" s="180">
        <v>0</v>
      </c>
      <c r="W50" s="608"/>
      <c r="X50" s="608"/>
    </row>
    <row r="51" spans="1:24" s="180" customFormat="1" ht="30">
      <c r="A51" s="488" t="str">
        <f t="shared" ca="1" si="0"/>
        <v xml:space="preserve">Input CofG-SI data or Box data to Multi_Payload sheet  </v>
      </c>
      <c r="B51" s="496" t="s">
        <v>3501</v>
      </c>
      <c r="C51" s="496">
        <v>2</v>
      </c>
      <c r="D51" s="488" t="s">
        <v>1254</v>
      </c>
      <c r="E51" s="175"/>
      <c r="F51" s="492" t="s">
        <v>3683</v>
      </c>
      <c r="G51" s="176" t="s">
        <v>1994</v>
      </c>
      <c r="H51" s="176" t="s">
        <v>2546</v>
      </c>
      <c r="I51" s="492" t="s">
        <v>2547</v>
      </c>
      <c r="J51" s="492" t="s">
        <v>188</v>
      </c>
      <c r="K51" s="492" t="s">
        <v>189</v>
      </c>
      <c r="L51" s="493" t="s">
        <v>190</v>
      </c>
      <c r="M51" s="499" t="s">
        <v>191</v>
      </c>
      <c r="N51" s="500" t="s">
        <v>192</v>
      </c>
      <c r="O51" s="180">
        <v>0</v>
      </c>
      <c r="W51" s="608"/>
      <c r="X51" s="608"/>
    </row>
    <row r="52" spans="1:24" s="180" customFormat="1" ht="39.75">
      <c r="A52" s="488" t="str">
        <f t="shared" ca="1" si="0"/>
        <v>Enter the data for up to 10 components of the total J6 Payload</v>
      </c>
      <c r="B52" s="496" t="s">
        <v>3501</v>
      </c>
      <c r="C52" s="496">
        <v>2</v>
      </c>
      <c r="D52" s="488" t="s">
        <v>193</v>
      </c>
      <c r="E52" s="175"/>
      <c r="F52" s="492" t="s">
        <v>405</v>
      </c>
      <c r="G52" s="176" t="s">
        <v>897</v>
      </c>
      <c r="H52" s="176" t="s">
        <v>898</v>
      </c>
      <c r="I52" s="492" t="s">
        <v>899</v>
      </c>
      <c r="J52" s="492" t="s">
        <v>900</v>
      </c>
      <c r="K52" s="492" t="s">
        <v>901</v>
      </c>
      <c r="L52" s="493" t="s">
        <v>902</v>
      </c>
      <c r="M52" s="499" t="s">
        <v>903</v>
      </c>
      <c r="N52" s="500" t="s">
        <v>1426</v>
      </c>
      <c r="O52" s="180">
        <v>0</v>
      </c>
      <c r="W52" s="608"/>
      <c r="X52" s="608"/>
    </row>
    <row r="53" spans="1:24" s="180" customFormat="1" ht="39.75">
      <c r="A53" s="488" t="str">
        <f t="shared" ca="1" si="0"/>
        <v>The data is automatically combined into a single total J6 Payload</v>
      </c>
      <c r="B53" s="496" t="s">
        <v>3501</v>
      </c>
      <c r="C53" s="496">
        <v>2</v>
      </c>
      <c r="D53" s="488" t="s">
        <v>1427</v>
      </c>
      <c r="E53" s="175"/>
      <c r="F53" s="492" t="s">
        <v>2451</v>
      </c>
      <c r="G53" s="176" t="s">
        <v>1998</v>
      </c>
      <c r="H53" s="176" t="s">
        <v>409</v>
      </c>
      <c r="I53" s="492" t="s">
        <v>410</v>
      </c>
      <c r="J53" s="492" t="s">
        <v>2007</v>
      </c>
      <c r="K53" s="492" t="s">
        <v>2008</v>
      </c>
      <c r="L53" s="493" t="s">
        <v>2009</v>
      </c>
      <c r="M53" s="499" t="s">
        <v>2010</v>
      </c>
      <c r="N53" s="500" t="s">
        <v>2011</v>
      </c>
      <c r="O53" s="180">
        <v>0</v>
      </c>
      <c r="W53" s="608"/>
      <c r="X53" s="608"/>
    </row>
    <row r="54" spans="1:24" s="180" customFormat="1" ht="39.75">
      <c r="A54" s="488" t="str">
        <f t="shared" ca="1" si="0"/>
        <v>Select the "Send Data to Robot Analysis sheet" to send the total load into the Robot Analysis sheet</v>
      </c>
      <c r="B54" s="496" t="s">
        <v>3501</v>
      </c>
      <c r="C54" s="496">
        <v>2</v>
      </c>
      <c r="D54" s="488" t="s">
        <v>2012</v>
      </c>
      <c r="E54" s="175"/>
      <c r="F54" s="492" t="s">
        <v>2013</v>
      </c>
      <c r="G54" s="176" t="s">
        <v>1555</v>
      </c>
      <c r="H54" s="176" t="s">
        <v>1571</v>
      </c>
      <c r="I54" s="492" t="s">
        <v>2297</v>
      </c>
      <c r="J54" s="492" t="s">
        <v>3249</v>
      </c>
      <c r="K54" s="492" t="s">
        <v>3250</v>
      </c>
      <c r="L54" s="493" t="s">
        <v>3251</v>
      </c>
      <c r="M54" s="499" t="s">
        <v>3252</v>
      </c>
      <c r="N54" s="500" t="s">
        <v>864</v>
      </c>
      <c r="O54" s="180">
        <v>0</v>
      </c>
      <c r="W54" s="608"/>
      <c r="X54" s="608"/>
    </row>
    <row r="55" spans="1:24" s="180" customFormat="1" ht="39.75">
      <c r="A55" s="488" t="str">
        <f t="shared" ca="1" si="0"/>
        <v>Select the "Save data" to save the data into the Summary_Multi_Payload sheet</v>
      </c>
      <c r="B55" s="496" t="s">
        <v>3501</v>
      </c>
      <c r="C55" s="496">
        <v>2</v>
      </c>
      <c r="D55" s="488" t="s">
        <v>865</v>
      </c>
      <c r="E55" s="175"/>
      <c r="F55" s="492" t="s">
        <v>866</v>
      </c>
      <c r="G55" s="176" t="s">
        <v>1865</v>
      </c>
      <c r="H55" s="176" t="s">
        <v>162</v>
      </c>
      <c r="I55" s="492" t="s">
        <v>163</v>
      </c>
      <c r="J55" s="492" t="s">
        <v>3817</v>
      </c>
      <c r="K55" s="492" t="s">
        <v>2479</v>
      </c>
      <c r="L55" s="493" t="s">
        <v>2480</v>
      </c>
      <c r="M55" s="499" t="s">
        <v>2481</v>
      </c>
      <c r="N55" s="500" t="s">
        <v>2482</v>
      </c>
      <c r="O55" s="180">
        <v>0</v>
      </c>
      <c r="W55" s="608"/>
      <c r="X55" s="608"/>
    </row>
    <row r="56" spans="1:24" s="180" customFormat="1" ht="39.75">
      <c r="A56" s="488" t="str">
        <f t="shared" ca="1" si="0"/>
        <v>Select the "Load data" to load the data from the Summary_Multi_Payload sheet</v>
      </c>
      <c r="B56" s="496" t="s">
        <v>3501</v>
      </c>
      <c r="C56" s="496">
        <v>2</v>
      </c>
      <c r="D56" s="488" t="s">
        <v>2483</v>
      </c>
      <c r="E56" s="175"/>
      <c r="F56" s="492" t="s">
        <v>808</v>
      </c>
      <c r="G56" s="176" t="s">
        <v>618</v>
      </c>
      <c r="H56" s="176" t="s">
        <v>619</v>
      </c>
      <c r="I56" s="492" t="s">
        <v>620</v>
      </c>
      <c r="J56" s="492" t="s">
        <v>621</v>
      </c>
      <c r="K56" s="492" t="s">
        <v>3769</v>
      </c>
      <c r="L56" s="493" t="s">
        <v>3770</v>
      </c>
      <c r="M56" s="499" t="s">
        <v>3771</v>
      </c>
      <c r="N56" s="500" t="s">
        <v>3772</v>
      </c>
      <c r="O56" s="180">
        <v>0</v>
      </c>
      <c r="W56" s="608"/>
      <c r="X56" s="608"/>
    </row>
    <row r="57" spans="1:24" s="180" customFormat="1" ht="39.75">
      <c r="A57" s="488" t="str">
        <f t="shared" ca="1" si="0"/>
        <v>"Load total Load as Part Load" menu can be used to combine components of eleven or more</v>
      </c>
      <c r="B57" s="496" t="s">
        <v>3501</v>
      </c>
      <c r="C57" s="496">
        <v>2</v>
      </c>
      <c r="D57" s="488" t="s">
        <v>3773</v>
      </c>
      <c r="E57" s="175"/>
      <c r="F57" s="492" t="s">
        <v>3774</v>
      </c>
      <c r="G57" s="176" t="s">
        <v>698</v>
      </c>
      <c r="H57" s="176" t="s">
        <v>699</v>
      </c>
      <c r="I57" s="492" t="s">
        <v>36</v>
      </c>
      <c r="J57" s="492" t="s">
        <v>3220</v>
      </c>
      <c r="K57" s="492" t="s">
        <v>3221</v>
      </c>
      <c r="L57" s="493" t="s">
        <v>2674</v>
      </c>
      <c r="M57" s="499" t="s">
        <v>2675</v>
      </c>
      <c r="N57" s="500" t="s">
        <v>2744</v>
      </c>
      <c r="O57" s="180">
        <v>0</v>
      </c>
      <c r="W57" s="608"/>
      <c r="X57" s="608"/>
    </row>
    <row r="58" spans="1:24" s="180" customFormat="1">
      <c r="A58" s="488"/>
      <c r="B58" s="496"/>
      <c r="C58" s="496"/>
      <c r="D58" s="488"/>
      <c r="E58" s="175"/>
      <c r="F58" s="492"/>
      <c r="G58" s="176"/>
      <c r="H58" s="176"/>
      <c r="I58" s="492"/>
      <c r="J58" s="492"/>
      <c r="K58" s="492"/>
      <c r="L58" s="493"/>
      <c r="M58" s="499"/>
      <c r="N58" s="500"/>
      <c r="O58" s="536"/>
      <c r="P58" s="519"/>
      <c r="Q58" s="519"/>
      <c r="R58" s="519"/>
      <c r="S58" s="519"/>
      <c r="T58" s="519"/>
      <c r="U58" s="519"/>
      <c r="V58" s="519"/>
      <c r="W58" s="522"/>
      <c r="X58" s="522"/>
    </row>
    <row r="59" spans="1:24" s="177" customFormat="1">
      <c r="A59" s="488" t="str">
        <f t="shared" ca="1" si="0"/>
        <v>Key to Results</v>
      </c>
      <c r="B59" s="496" t="s">
        <v>3240</v>
      </c>
      <c r="C59" s="496">
        <v>3</v>
      </c>
      <c r="D59" s="488">
        <v>3</v>
      </c>
      <c r="E59" s="488" t="s">
        <v>1510</v>
      </c>
      <c r="F59" s="507" t="s">
        <v>3462</v>
      </c>
      <c r="G59" s="77" t="s">
        <v>3420</v>
      </c>
      <c r="H59" s="77" t="s">
        <v>3421</v>
      </c>
      <c r="I59" s="77" t="s">
        <v>3759</v>
      </c>
      <c r="J59" s="77" t="s">
        <v>3760</v>
      </c>
      <c r="K59" s="77" t="s">
        <v>3761</v>
      </c>
      <c r="L59" s="508" t="s">
        <v>761</v>
      </c>
      <c r="M59" s="508" t="s">
        <v>3109</v>
      </c>
      <c r="N59" s="287" t="s">
        <v>3762</v>
      </c>
      <c r="O59" s="536">
        <v>0</v>
      </c>
      <c r="P59" s="519"/>
      <c r="Q59" s="519"/>
      <c r="R59" s="519"/>
      <c r="S59" s="519"/>
      <c r="T59" s="519"/>
      <c r="U59" s="519"/>
      <c r="V59" s="519"/>
      <c r="W59" s="522"/>
      <c r="X59" s="522"/>
    </row>
    <row r="60" spans="1:24" s="177" customFormat="1">
      <c r="A60" s="488" t="str">
        <f t="shared" ca="1" si="0"/>
        <v>Key to Results</v>
      </c>
      <c r="B60" s="496" t="s">
        <v>3501</v>
      </c>
      <c r="C60" s="496">
        <v>3</v>
      </c>
      <c r="D60" s="509" t="s">
        <v>3463</v>
      </c>
      <c r="E60" s="502"/>
      <c r="F60" s="507" t="s">
        <v>1531</v>
      </c>
      <c r="G60" s="77" t="s">
        <v>3420</v>
      </c>
      <c r="H60" s="77" t="s">
        <v>3421</v>
      </c>
      <c r="I60" s="77" t="s">
        <v>3759</v>
      </c>
      <c r="J60" s="77" t="s">
        <v>3760</v>
      </c>
      <c r="K60" s="77" t="s">
        <v>3761</v>
      </c>
      <c r="L60" s="508" t="s">
        <v>762</v>
      </c>
      <c r="M60" s="508" t="s">
        <v>3109</v>
      </c>
      <c r="N60" s="287" t="s">
        <v>3762</v>
      </c>
      <c r="O60" s="536">
        <v>0</v>
      </c>
      <c r="P60" s="519"/>
      <c r="Q60" s="519"/>
      <c r="R60" s="519"/>
      <c r="S60" s="519"/>
      <c r="T60" s="519"/>
      <c r="U60" s="519"/>
      <c r="V60" s="519"/>
      <c r="W60" s="522"/>
      <c r="X60" s="522"/>
    </row>
    <row r="61" spans="1:24" s="177" customFormat="1">
      <c r="A61" s="488" t="str">
        <f t="shared" ca="1" si="0"/>
        <v>Item</v>
      </c>
      <c r="B61" s="496" t="s">
        <v>3501</v>
      </c>
      <c r="C61" s="496">
        <v>3</v>
      </c>
      <c r="D61" s="509" t="s">
        <v>1166</v>
      </c>
      <c r="E61" s="502"/>
      <c r="F61" s="507" t="s">
        <v>1167</v>
      </c>
      <c r="G61" s="77" t="s">
        <v>289</v>
      </c>
      <c r="H61" s="77" t="s">
        <v>3763</v>
      </c>
      <c r="I61" s="77" t="s">
        <v>289</v>
      </c>
      <c r="J61" s="77" t="s">
        <v>3764</v>
      </c>
      <c r="K61" s="77" t="s">
        <v>289</v>
      </c>
      <c r="L61" s="508" t="s">
        <v>3765</v>
      </c>
      <c r="M61" s="508" t="s">
        <v>3766</v>
      </c>
      <c r="N61" s="287" t="s">
        <v>3767</v>
      </c>
      <c r="O61" s="536">
        <v>0</v>
      </c>
      <c r="P61" s="519"/>
      <c r="Q61" s="519"/>
      <c r="R61" s="519"/>
      <c r="S61" s="519"/>
      <c r="T61" s="519"/>
      <c r="U61" s="519"/>
      <c r="V61" s="519"/>
      <c r="W61" s="522"/>
      <c r="X61" s="522"/>
    </row>
    <row r="62" spans="1:24" s="177" customFormat="1">
      <c r="A62" s="488" t="str">
        <f t="shared" ca="1" si="0"/>
        <v>Payload</v>
      </c>
      <c r="B62" s="496" t="s">
        <v>3501</v>
      </c>
      <c r="C62" s="496">
        <v>3</v>
      </c>
      <c r="D62" s="509" t="s">
        <v>2092</v>
      </c>
      <c r="E62" s="502"/>
      <c r="F62" s="507" t="s">
        <v>1168</v>
      </c>
      <c r="G62" s="77" t="s">
        <v>1174</v>
      </c>
      <c r="H62" s="77" t="s">
        <v>1477</v>
      </c>
      <c r="I62" s="77" t="s">
        <v>432</v>
      </c>
      <c r="J62" s="77" t="s">
        <v>2017</v>
      </c>
      <c r="K62" s="77" t="s">
        <v>252</v>
      </c>
      <c r="L62" s="508" t="s">
        <v>3768</v>
      </c>
      <c r="M62" s="508" t="s">
        <v>74</v>
      </c>
      <c r="N62" s="287" t="s">
        <v>74</v>
      </c>
      <c r="O62" s="536">
        <v>0</v>
      </c>
      <c r="P62" s="519"/>
      <c r="Q62" s="519"/>
      <c r="R62" s="519"/>
      <c r="S62" s="519"/>
      <c r="T62" s="519"/>
      <c r="U62" s="519"/>
      <c r="V62" s="519"/>
      <c r="W62" s="522"/>
      <c r="X62" s="522"/>
    </row>
    <row r="63" spans="1:24" s="177" customFormat="1">
      <c r="A63" s="488" t="str">
        <f t="shared" ca="1" si="0"/>
        <v>Moments</v>
      </c>
      <c r="B63" s="496" t="s">
        <v>3501</v>
      </c>
      <c r="C63" s="496">
        <v>3</v>
      </c>
      <c r="D63" s="509" t="s">
        <v>1169</v>
      </c>
      <c r="E63" s="502"/>
      <c r="F63" s="77" t="s">
        <v>348</v>
      </c>
      <c r="G63" s="77" t="s">
        <v>348</v>
      </c>
      <c r="H63" s="77" t="s">
        <v>1109</v>
      </c>
      <c r="I63" s="77" t="s">
        <v>433</v>
      </c>
      <c r="J63" s="77" t="s">
        <v>2465</v>
      </c>
      <c r="K63" s="77" t="s">
        <v>1095</v>
      </c>
      <c r="L63" s="508" t="s">
        <v>2484</v>
      </c>
      <c r="M63" s="508" t="s">
        <v>75</v>
      </c>
      <c r="N63" s="287" t="s">
        <v>707</v>
      </c>
      <c r="O63" s="536">
        <v>0</v>
      </c>
      <c r="P63" s="519"/>
      <c r="Q63" s="519"/>
      <c r="R63" s="519"/>
      <c r="S63" s="519"/>
      <c r="T63" s="519"/>
      <c r="U63" s="519"/>
      <c r="V63" s="519"/>
      <c r="W63" s="522"/>
      <c r="X63" s="522"/>
    </row>
    <row r="64" spans="1:24" s="177" customFormat="1">
      <c r="A64" s="488" t="str">
        <f t="shared" ca="1" si="0"/>
        <v>Inertias</v>
      </c>
      <c r="B64" s="496" t="s">
        <v>3501</v>
      </c>
      <c r="C64" s="496">
        <v>3</v>
      </c>
      <c r="D64" s="509" t="s">
        <v>1170</v>
      </c>
      <c r="E64" s="502"/>
      <c r="F64" s="507" t="s">
        <v>787</v>
      </c>
      <c r="G64" s="77" t="s">
        <v>788</v>
      </c>
      <c r="H64" s="77" t="s">
        <v>3559</v>
      </c>
      <c r="I64" s="77" t="s">
        <v>2332</v>
      </c>
      <c r="J64" s="77" t="s">
        <v>161</v>
      </c>
      <c r="K64" s="77" t="s">
        <v>488</v>
      </c>
      <c r="L64" s="508" t="s">
        <v>76</v>
      </c>
      <c r="M64" s="508" t="s">
        <v>77</v>
      </c>
      <c r="N64" s="287" t="s">
        <v>3055</v>
      </c>
      <c r="O64" s="536">
        <v>0</v>
      </c>
      <c r="P64" s="519"/>
      <c r="Q64" s="519"/>
      <c r="R64" s="519"/>
      <c r="S64" s="519"/>
      <c r="T64" s="519"/>
      <c r="U64" s="519"/>
      <c r="V64" s="519"/>
      <c r="W64" s="522"/>
      <c r="X64" s="522"/>
    </row>
    <row r="65" spans="1:24" s="177" customFormat="1">
      <c r="A65" s="488" t="str">
        <f t="shared" ca="1" si="0"/>
        <v>Approved</v>
      </c>
      <c r="B65" s="496" t="s">
        <v>3501</v>
      </c>
      <c r="C65" s="496">
        <v>3</v>
      </c>
      <c r="D65" s="509" t="s">
        <v>789</v>
      </c>
      <c r="E65" s="502"/>
      <c r="F65" s="507" t="s">
        <v>790</v>
      </c>
      <c r="G65" s="77" t="s">
        <v>1680</v>
      </c>
      <c r="H65" s="77" t="s">
        <v>134</v>
      </c>
      <c r="I65" s="77" t="s">
        <v>78</v>
      </c>
      <c r="J65" s="77" t="s">
        <v>2317</v>
      </c>
      <c r="K65" s="77" t="s">
        <v>3001</v>
      </c>
      <c r="L65" s="508" t="s">
        <v>2485</v>
      </c>
      <c r="M65" s="508" t="s">
        <v>79</v>
      </c>
      <c r="N65" s="287" t="s">
        <v>1173</v>
      </c>
      <c r="O65" s="536">
        <v>0</v>
      </c>
      <c r="P65" s="519"/>
      <c r="Q65" s="519"/>
      <c r="R65" s="519"/>
      <c r="S65" s="519"/>
      <c r="T65" s="519"/>
      <c r="U65" s="519"/>
      <c r="V65" s="519"/>
      <c r="W65" s="522"/>
      <c r="X65" s="522"/>
    </row>
    <row r="66" spans="1:24" s="177" customFormat="1">
      <c r="A66" s="488">
        <f ca="1">OFFSET(E66,0,$E$3)</f>
        <v>0</v>
      </c>
      <c r="B66" s="496" t="s">
        <v>3501</v>
      </c>
      <c r="C66" s="496">
        <v>3</v>
      </c>
      <c r="D66" s="509" t="s">
        <v>791</v>
      </c>
      <c r="E66" s="502"/>
      <c r="F66" s="507"/>
      <c r="G66" s="77" t="s">
        <v>80</v>
      </c>
      <c r="H66" s="507"/>
      <c r="I66" s="507"/>
      <c r="J66" s="507"/>
      <c r="K66" s="507"/>
      <c r="L66" s="510"/>
      <c r="M66" s="512"/>
      <c r="N66" s="511"/>
      <c r="O66" s="536">
        <v>0</v>
      </c>
      <c r="P66" s="519"/>
      <c r="Q66" s="519"/>
      <c r="R66" s="519"/>
      <c r="S66" s="519"/>
      <c r="T66" s="519"/>
      <c r="U66" s="519"/>
      <c r="V66" s="519"/>
      <c r="W66" s="522"/>
      <c r="X66" s="522"/>
    </row>
    <row r="67" spans="1:24" s="177" customFormat="1">
      <c r="A67" s="488" t="str">
        <f t="shared" ref="A67:A83" ca="1" si="1">OFFSET(E67,0,$E$3)</f>
        <v>Key to Diagrams</v>
      </c>
      <c r="B67" s="496" t="s">
        <v>3501</v>
      </c>
      <c r="C67" s="496">
        <v>3</v>
      </c>
      <c r="D67" s="509" t="s">
        <v>792</v>
      </c>
      <c r="E67" s="502"/>
      <c r="F67" s="507" t="s">
        <v>793</v>
      </c>
      <c r="G67" s="77" t="s">
        <v>794</v>
      </c>
      <c r="H67" s="77" t="s">
        <v>795</v>
      </c>
      <c r="I67" s="77" t="s">
        <v>2401</v>
      </c>
      <c r="J67" s="77" t="s">
        <v>2402</v>
      </c>
      <c r="K67" s="77" t="s">
        <v>2403</v>
      </c>
      <c r="L67" s="513" t="s">
        <v>763</v>
      </c>
      <c r="M67" s="508" t="s">
        <v>2486</v>
      </c>
      <c r="N67" s="514" t="s">
        <v>3404</v>
      </c>
      <c r="O67" s="536">
        <v>0</v>
      </c>
      <c r="P67" s="519"/>
      <c r="Q67" s="519"/>
      <c r="R67" s="519"/>
      <c r="S67" s="519"/>
      <c r="T67" s="519"/>
      <c r="U67" s="519"/>
      <c r="V67" s="519"/>
      <c r="W67" s="522"/>
      <c r="X67" s="522"/>
    </row>
    <row r="68" spans="1:24" s="177" customFormat="1">
      <c r="A68" s="488" t="str">
        <f t="shared" ca="1" si="1"/>
        <v>Result</v>
      </c>
      <c r="B68" s="496" t="s">
        <v>3501</v>
      </c>
      <c r="C68" s="496">
        <v>3</v>
      </c>
      <c r="D68" s="509" t="s">
        <v>2404</v>
      </c>
      <c r="E68" s="502"/>
      <c r="F68" s="77" t="s">
        <v>290</v>
      </c>
      <c r="G68" s="77" t="s">
        <v>81</v>
      </c>
      <c r="H68" s="77" t="s">
        <v>82</v>
      </c>
      <c r="I68" s="77" t="s">
        <v>1274</v>
      </c>
      <c r="J68" s="77" t="s">
        <v>1275</v>
      </c>
      <c r="K68" s="77" t="s">
        <v>1276</v>
      </c>
      <c r="L68" s="508" t="s">
        <v>3044</v>
      </c>
      <c r="M68" s="508" t="s">
        <v>3045</v>
      </c>
      <c r="N68" s="287" t="s">
        <v>1277</v>
      </c>
      <c r="O68" s="536">
        <v>0</v>
      </c>
      <c r="P68" s="519"/>
      <c r="Q68" s="519"/>
      <c r="R68" s="519"/>
      <c r="S68" s="519"/>
      <c r="T68" s="519"/>
      <c r="U68" s="519"/>
      <c r="V68" s="519"/>
      <c r="W68" s="522"/>
      <c r="X68" s="522"/>
    </row>
    <row r="69" spans="1:24" s="177" customFormat="1">
      <c r="A69" s="488" t="str">
        <f t="shared" ca="1" si="1"/>
        <v>Meaning</v>
      </c>
      <c r="B69" s="496" t="s">
        <v>3501</v>
      </c>
      <c r="C69" s="496">
        <v>3</v>
      </c>
      <c r="D69" s="509" t="s">
        <v>2405</v>
      </c>
      <c r="E69" s="502"/>
      <c r="F69" s="77" t="s">
        <v>291</v>
      </c>
      <c r="G69" s="77" t="s">
        <v>1278</v>
      </c>
      <c r="H69" s="77" t="s">
        <v>1279</v>
      </c>
      <c r="I69" s="77" t="s">
        <v>1280</v>
      </c>
      <c r="J69" s="77" t="s">
        <v>1281</v>
      </c>
      <c r="K69" s="77" t="s">
        <v>1282</v>
      </c>
      <c r="L69" s="508" t="s">
        <v>3046</v>
      </c>
      <c r="M69" s="508" t="s">
        <v>3047</v>
      </c>
      <c r="N69" s="287" t="s">
        <v>1283</v>
      </c>
      <c r="O69" s="536">
        <v>0</v>
      </c>
      <c r="P69" s="519"/>
      <c r="Q69" s="519"/>
      <c r="R69" s="519"/>
      <c r="S69" s="519"/>
      <c r="T69" s="519"/>
      <c r="U69" s="519"/>
      <c r="V69" s="519"/>
      <c r="W69" s="522"/>
      <c r="X69" s="522"/>
    </row>
    <row r="70" spans="1:24" s="177" customFormat="1">
      <c r="A70" s="488" t="str">
        <f t="shared" ca="1" si="1"/>
        <v>Payload is OK</v>
      </c>
      <c r="B70" s="496" t="s">
        <v>3501</v>
      </c>
      <c r="C70" s="496">
        <v>3</v>
      </c>
      <c r="D70" s="509" t="s">
        <v>1284</v>
      </c>
      <c r="E70" s="502"/>
      <c r="F70" s="77" t="s">
        <v>1482</v>
      </c>
      <c r="G70" s="77" t="s">
        <v>1857</v>
      </c>
      <c r="H70" s="77" t="s">
        <v>1858</v>
      </c>
      <c r="I70" s="77" t="s">
        <v>3364</v>
      </c>
      <c r="J70" s="77" t="s">
        <v>2508</v>
      </c>
      <c r="K70" s="77" t="s">
        <v>2509</v>
      </c>
      <c r="L70" s="508" t="s">
        <v>3048</v>
      </c>
      <c r="M70" s="508" t="s">
        <v>3049</v>
      </c>
      <c r="N70" s="287" t="s">
        <v>2510</v>
      </c>
      <c r="O70" s="536">
        <v>0</v>
      </c>
      <c r="P70" s="519"/>
      <c r="Q70" s="519"/>
      <c r="R70" s="519"/>
      <c r="S70" s="519"/>
      <c r="T70" s="519"/>
      <c r="U70" s="519"/>
      <c r="V70" s="519"/>
      <c r="W70" s="522"/>
      <c r="X70" s="522"/>
    </row>
    <row r="71" spans="1:24" s="177" customFormat="1">
      <c r="A71" s="488" t="str">
        <f t="shared" ca="1" si="1"/>
        <v>Payload is close to Maximum allowed (ie over 90%)</v>
      </c>
      <c r="B71" s="496" t="s">
        <v>3501</v>
      </c>
      <c r="C71" s="496">
        <v>3</v>
      </c>
      <c r="D71" s="509" t="s">
        <v>2511</v>
      </c>
      <c r="E71" s="502"/>
      <c r="F71" s="77" t="s">
        <v>825</v>
      </c>
      <c r="G71" s="130" t="s">
        <v>2512</v>
      </c>
      <c r="H71" s="77" t="s">
        <v>2513</v>
      </c>
      <c r="I71" s="77" t="s">
        <v>2514</v>
      </c>
      <c r="J71" s="77" t="s">
        <v>2732</v>
      </c>
      <c r="K71" s="77" t="s">
        <v>3506</v>
      </c>
      <c r="L71" s="508" t="s">
        <v>3131</v>
      </c>
      <c r="M71" s="508" t="s">
        <v>3132</v>
      </c>
      <c r="N71" s="287" t="s">
        <v>3507</v>
      </c>
      <c r="O71" s="536">
        <v>0</v>
      </c>
      <c r="P71" s="519"/>
      <c r="Q71" s="519"/>
      <c r="R71" s="519"/>
      <c r="S71" s="519"/>
      <c r="T71" s="519"/>
      <c r="U71" s="519"/>
      <c r="V71" s="519"/>
      <c r="W71" s="522"/>
      <c r="X71" s="522"/>
    </row>
    <row r="72" spans="1:24" s="177" customFormat="1">
      <c r="A72" s="488" t="str">
        <f t="shared" ca="1" si="1"/>
        <v>Payload is over Maximum allowed</v>
      </c>
      <c r="B72" s="496" t="s">
        <v>3501</v>
      </c>
      <c r="C72" s="496">
        <v>3</v>
      </c>
      <c r="D72" s="509" t="s">
        <v>3158</v>
      </c>
      <c r="E72" s="502"/>
      <c r="F72" s="77" t="s">
        <v>2303</v>
      </c>
      <c r="G72" s="77" t="s">
        <v>3159</v>
      </c>
      <c r="H72" s="77" t="s">
        <v>3160</v>
      </c>
      <c r="I72" s="77" t="s">
        <v>1903</v>
      </c>
      <c r="J72" s="77" t="s">
        <v>1904</v>
      </c>
      <c r="K72" s="77" t="s">
        <v>2409</v>
      </c>
      <c r="L72" s="508" t="s">
        <v>2487</v>
      </c>
      <c r="M72" s="508" t="s">
        <v>2410</v>
      </c>
      <c r="N72" s="287" t="s">
        <v>1181</v>
      </c>
      <c r="O72" s="536">
        <v>0</v>
      </c>
      <c r="P72" s="519"/>
      <c r="Q72" s="519"/>
      <c r="R72" s="519"/>
      <c r="S72" s="519"/>
      <c r="T72" s="519"/>
      <c r="U72" s="519"/>
      <c r="V72" s="519"/>
      <c r="W72" s="522"/>
      <c r="X72" s="522"/>
    </row>
    <row r="73" spans="1:24" s="177" customFormat="1">
      <c r="A73" s="488" t="str">
        <f t="shared" ca="1" si="1"/>
        <v>Moments are OK</v>
      </c>
      <c r="B73" s="496" t="s">
        <v>3501</v>
      </c>
      <c r="C73" s="496">
        <v>3</v>
      </c>
      <c r="D73" s="509" t="s">
        <v>1182</v>
      </c>
      <c r="E73" s="502"/>
      <c r="F73" s="77" t="s">
        <v>553</v>
      </c>
      <c r="G73" s="77" t="s">
        <v>1183</v>
      </c>
      <c r="H73" s="77" t="s">
        <v>1184</v>
      </c>
      <c r="I73" s="77" t="s">
        <v>1185</v>
      </c>
      <c r="J73" s="77" t="s">
        <v>1186</v>
      </c>
      <c r="K73" s="77" t="s">
        <v>3638</v>
      </c>
      <c r="L73" s="508" t="s">
        <v>130</v>
      </c>
      <c r="M73" s="508" t="s">
        <v>3526</v>
      </c>
      <c r="N73" s="287" t="s">
        <v>3527</v>
      </c>
      <c r="O73" s="536">
        <v>0</v>
      </c>
      <c r="P73" s="519"/>
      <c r="Q73" s="519"/>
      <c r="R73" s="519"/>
      <c r="S73" s="519"/>
      <c r="T73" s="519"/>
      <c r="U73" s="519"/>
      <c r="V73" s="519"/>
      <c r="W73" s="522"/>
      <c r="X73" s="522"/>
    </row>
    <row r="74" spans="1:24" s="177" customFormat="1">
      <c r="A74" s="488" t="str">
        <f t="shared" ca="1" si="1"/>
        <v>Moments are close to Maximum allowed (ie over 90%)</v>
      </c>
      <c r="B74" s="496" t="s">
        <v>3501</v>
      </c>
      <c r="C74" s="496">
        <v>3</v>
      </c>
      <c r="D74" s="509" t="s">
        <v>3528</v>
      </c>
      <c r="E74" s="502"/>
      <c r="F74" s="77" t="s">
        <v>2980</v>
      </c>
      <c r="G74" s="130" t="s">
        <v>2107</v>
      </c>
      <c r="H74" s="77" t="s">
        <v>2108</v>
      </c>
      <c r="I74" s="77" t="s">
        <v>3530</v>
      </c>
      <c r="J74" s="77" t="s">
        <v>3531</v>
      </c>
      <c r="K74" s="77" t="s">
        <v>2786</v>
      </c>
      <c r="L74" s="508" t="s">
        <v>1850</v>
      </c>
      <c r="M74" s="508" t="s">
        <v>3133</v>
      </c>
      <c r="N74" s="287" t="s">
        <v>2787</v>
      </c>
      <c r="O74" s="536">
        <v>0</v>
      </c>
      <c r="P74" s="519"/>
      <c r="Q74" s="519"/>
      <c r="R74" s="519"/>
      <c r="S74" s="519"/>
      <c r="T74" s="519"/>
      <c r="U74" s="519"/>
      <c r="V74" s="519"/>
      <c r="W74" s="522"/>
      <c r="X74" s="522"/>
    </row>
    <row r="75" spans="1:24" s="177" customFormat="1">
      <c r="A75" s="488" t="str">
        <f t="shared" ca="1" si="1"/>
        <v>Moments are over Maximum allowed</v>
      </c>
      <c r="B75" s="496" t="s">
        <v>3501</v>
      </c>
      <c r="C75" s="496">
        <v>3</v>
      </c>
      <c r="D75" s="509" t="s">
        <v>2788</v>
      </c>
      <c r="E75" s="502"/>
      <c r="F75" s="77" t="s">
        <v>264</v>
      </c>
      <c r="G75" s="130" t="s">
        <v>1854</v>
      </c>
      <c r="H75" s="77" t="s">
        <v>1855</v>
      </c>
      <c r="I75" s="77" t="s">
        <v>1856</v>
      </c>
      <c r="J75" s="77" t="s">
        <v>3110</v>
      </c>
      <c r="K75" s="77" t="s">
        <v>3111</v>
      </c>
      <c r="L75" s="508" t="s">
        <v>1851</v>
      </c>
      <c r="M75" s="508" t="s">
        <v>801</v>
      </c>
      <c r="N75" s="287" t="s">
        <v>2111</v>
      </c>
      <c r="O75" s="536">
        <v>0</v>
      </c>
      <c r="P75" s="519"/>
      <c r="Q75" s="519"/>
      <c r="R75" s="519"/>
      <c r="S75" s="519"/>
      <c r="T75" s="519"/>
      <c r="U75" s="519"/>
      <c r="V75" s="519"/>
      <c r="W75" s="522"/>
      <c r="X75" s="522"/>
    </row>
    <row r="76" spans="1:24" s="177" customFormat="1">
      <c r="A76" s="488" t="str">
        <f t="shared" ca="1" si="1"/>
        <v>Inertias are OK</v>
      </c>
      <c r="B76" s="496" t="s">
        <v>3501</v>
      </c>
      <c r="C76" s="496">
        <v>3</v>
      </c>
      <c r="D76" s="509" t="s">
        <v>2406</v>
      </c>
      <c r="E76" s="502"/>
      <c r="F76" s="77" t="s">
        <v>3781</v>
      </c>
      <c r="G76" s="130" t="s">
        <v>2112</v>
      </c>
      <c r="H76" s="77" t="s">
        <v>2113</v>
      </c>
      <c r="I76" s="77" t="s">
        <v>283</v>
      </c>
      <c r="J76" s="77" t="s">
        <v>1926</v>
      </c>
      <c r="K76" s="77" t="s">
        <v>700</v>
      </c>
      <c r="L76" s="508" t="s">
        <v>701</v>
      </c>
      <c r="M76" s="508" t="s">
        <v>802</v>
      </c>
      <c r="N76" s="287" t="s">
        <v>702</v>
      </c>
      <c r="O76" s="536">
        <v>0</v>
      </c>
      <c r="P76" s="519"/>
      <c r="Q76" s="519"/>
      <c r="R76" s="519"/>
      <c r="S76" s="519"/>
      <c r="T76" s="519"/>
      <c r="U76" s="519"/>
      <c r="V76" s="519"/>
      <c r="W76" s="522"/>
      <c r="X76" s="522"/>
    </row>
    <row r="77" spans="1:24" s="177" customFormat="1">
      <c r="A77" s="488" t="str">
        <f t="shared" ca="1" si="1"/>
        <v>Inertias are close to Maximum allowed (ie over 90%)</v>
      </c>
      <c r="B77" s="496" t="s">
        <v>3501</v>
      </c>
      <c r="C77" s="496">
        <v>3</v>
      </c>
      <c r="D77" s="509" t="s">
        <v>2407</v>
      </c>
      <c r="E77" s="502"/>
      <c r="F77" s="77" t="s">
        <v>2408</v>
      </c>
      <c r="G77" s="507" t="s">
        <v>3808</v>
      </c>
      <c r="H77" s="507" t="s">
        <v>119</v>
      </c>
      <c r="I77" s="507" t="s">
        <v>1052</v>
      </c>
      <c r="J77" s="507" t="s">
        <v>1692</v>
      </c>
      <c r="K77" s="507" t="s">
        <v>2135</v>
      </c>
      <c r="L77" s="510" t="s">
        <v>1231</v>
      </c>
      <c r="M77" s="510" t="s">
        <v>391</v>
      </c>
      <c r="N77" s="511" t="s">
        <v>3119</v>
      </c>
      <c r="O77" s="536">
        <v>0</v>
      </c>
      <c r="P77" s="519"/>
      <c r="Q77" s="519"/>
      <c r="R77" s="519"/>
      <c r="S77" s="519"/>
      <c r="T77" s="519"/>
      <c r="U77" s="519"/>
      <c r="V77" s="519"/>
      <c r="W77" s="522"/>
      <c r="X77" s="522"/>
    </row>
    <row r="78" spans="1:24" s="177" customFormat="1" ht="45">
      <c r="A78" s="488" t="str">
        <f t="shared" ca="1" si="1"/>
        <v xml:space="preserve">Inertias are over normal maximum allowed, further investigation required.
Please check with FANUC </v>
      </c>
      <c r="B78" s="496" t="s">
        <v>3501</v>
      </c>
      <c r="C78" s="496">
        <v>3</v>
      </c>
      <c r="D78" s="509" t="s">
        <v>2706</v>
      </c>
      <c r="E78" s="502"/>
      <c r="F78" s="515" t="s">
        <v>2096</v>
      </c>
      <c r="G78" s="507" t="s">
        <v>1393</v>
      </c>
      <c r="H78" s="507" t="s">
        <v>3415</v>
      </c>
      <c r="I78" s="540" t="s">
        <v>1691</v>
      </c>
      <c r="J78" s="540" t="s">
        <v>3737</v>
      </c>
      <c r="K78" s="507" t="s">
        <v>3129</v>
      </c>
      <c r="L78" s="541" t="s">
        <v>3071</v>
      </c>
      <c r="M78" s="541" t="s">
        <v>3300</v>
      </c>
      <c r="N78" s="542" t="s">
        <v>3120</v>
      </c>
      <c r="O78" s="536">
        <v>0</v>
      </c>
      <c r="P78" s="519"/>
      <c r="Q78" s="519"/>
      <c r="R78" s="519"/>
      <c r="S78" s="519"/>
      <c r="T78" s="519"/>
      <c r="U78" s="519"/>
      <c r="V78" s="519"/>
      <c r="W78" s="522"/>
      <c r="X78" s="522"/>
    </row>
    <row r="79" spans="1:24" s="177" customFormat="1">
      <c r="A79" s="488" t="str">
        <f t="shared" ca="1" si="1"/>
        <v>Inertias are over Maximum allowed</v>
      </c>
      <c r="B79" s="496" t="s">
        <v>3501</v>
      </c>
      <c r="C79" s="496">
        <v>3</v>
      </c>
      <c r="D79" s="509" t="s">
        <v>2097</v>
      </c>
      <c r="E79" s="502"/>
      <c r="F79" s="77" t="s">
        <v>2780</v>
      </c>
      <c r="G79" s="537" t="s">
        <v>3112</v>
      </c>
      <c r="H79" s="537" t="s">
        <v>3113</v>
      </c>
      <c r="I79" s="507" t="s">
        <v>3114</v>
      </c>
      <c r="J79" s="507" t="s">
        <v>2068</v>
      </c>
      <c r="K79" s="507" t="s">
        <v>2069</v>
      </c>
      <c r="L79" s="538" t="s">
        <v>803</v>
      </c>
      <c r="M79" s="510" t="s">
        <v>804</v>
      </c>
      <c r="N79" s="511" t="s">
        <v>2070</v>
      </c>
      <c r="O79" s="536">
        <v>0</v>
      </c>
      <c r="P79" s="519"/>
      <c r="Q79" s="519"/>
      <c r="R79" s="519"/>
      <c r="S79" s="519"/>
      <c r="T79" s="519"/>
      <c r="U79" s="519"/>
      <c r="V79" s="519"/>
      <c r="W79" s="522"/>
      <c r="X79" s="522"/>
    </row>
    <row r="80" spans="1:24" s="177" customFormat="1">
      <c r="A80" s="488" t="str">
        <f t="shared" ca="1" si="1"/>
        <v>FANUC approve the payload for this robot.</v>
      </c>
      <c r="B80" s="496" t="s">
        <v>3501</v>
      </c>
      <c r="C80" s="496">
        <v>3</v>
      </c>
      <c r="D80" s="509" t="s">
        <v>2098</v>
      </c>
      <c r="E80" s="502"/>
      <c r="F80" s="77" t="s">
        <v>2071</v>
      </c>
      <c r="G80" s="537" t="s">
        <v>2072</v>
      </c>
      <c r="H80" s="537" t="s">
        <v>2073</v>
      </c>
      <c r="I80" s="507" t="s">
        <v>2828</v>
      </c>
      <c r="J80" s="507" t="s">
        <v>367</v>
      </c>
      <c r="K80" s="507" t="s">
        <v>904</v>
      </c>
      <c r="L80" s="538" t="s">
        <v>1627</v>
      </c>
      <c r="M80" s="510" t="s">
        <v>3455</v>
      </c>
      <c r="N80" s="511" t="s">
        <v>1367</v>
      </c>
      <c r="O80" s="536">
        <v>0</v>
      </c>
      <c r="P80" s="519"/>
      <c r="Q80" s="519"/>
      <c r="R80" s="519"/>
      <c r="S80" s="519"/>
      <c r="T80" s="519"/>
      <c r="U80" s="519"/>
      <c r="V80" s="519"/>
      <c r="W80" s="522"/>
      <c r="X80" s="522"/>
    </row>
    <row r="81" spans="1:26" s="177" customFormat="1">
      <c r="A81" s="488" t="str">
        <f t="shared" ca="1" si="1"/>
        <v>One or more items are in a WARN Condition - Payload must be checked</v>
      </c>
      <c r="B81" s="496" t="s">
        <v>3501</v>
      </c>
      <c r="C81" s="496">
        <v>3</v>
      </c>
      <c r="D81" s="509" t="s">
        <v>2099</v>
      </c>
      <c r="E81" s="502"/>
      <c r="F81" s="77" t="s">
        <v>1687</v>
      </c>
      <c r="G81" s="537" t="s">
        <v>120</v>
      </c>
      <c r="H81" s="537" t="s">
        <v>3146</v>
      </c>
      <c r="I81" s="507" t="s">
        <v>3498</v>
      </c>
      <c r="J81" s="507" t="s">
        <v>3094</v>
      </c>
      <c r="K81" s="507" t="s">
        <v>2520</v>
      </c>
      <c r="L81" s="538" t="s">
        <v>1628</v>
      </c>
      <c r="M81" s="510" t="s">
        <v>3456</v>
      </c>
      <c r="N81" s="511" t="s">
        <v>3576</v>
      </c>
      <c r="O81" s="536">
        <v>0</v>
      </c>
      <c r="P81" s="519"/>
      <c r="Q81" s="519"/>
      <c r="R81" s="519"/>
      <c r="S81" s="519"/>
      <c r="T81" s="519"/>
      <c r="U81" s="519"/>
      <c r="V81" s="519"/>
      <c r="W81" s="522"/>
      <c r="X81" s="522"/>
    </row>
    <row r="82" spans="1:26" s="177" customFormat="1" ht="45">
      <c r="A82" s="488" t="str">
        <f ca="1">OFFSET(E82,0,$E$3)</f>
        <v xml:space="preserve">Payload is over normal maximum allowed, further investigation required.
Please check with FANUC </v>
      </c>
      <c r="B82" s="496" t="s">
        <v>3501</v>
      </c>
      <c r="C82" s="496">
        <v>3</v>
      </c>
      <c r="D82" s="509" t="s">
        <v>2100</v>
      </c>
      <c r="E82" s="502"/>
      <c r="F82" s="515" t="s">
        <v>3314</v>
      </c>
      <c r="G82" s="507" t="s">
        <v>3135</v>
      </c>
      <c r="H82" s="507" t="s">
        <v>1051</v>
      </c>
      <c r="I82" s="540" t="s">
        <v>1690</v>
      </c>
      <c r="J82" s="540" t="s">
        <v>2635</v>
      </c>
      <c r="K82" s="507" t="s">
        <v>3130</v>
      </c>
      <c r="L82" s="541" t="s">
        <v>390</v>
      </c>
      <c r="M82" s="510" t="s">
        <v>3301</v>
      </c>
      <c r="N82" s="542" t="s">
        <v>2560</v>
      </c>
      <c r="O82" s="536">
        <v>0</v>
      </c>
      <c r="P82" s="519"/>
      <c r="Q82" s="519"/>
      <c r="R82" s="519"/>
      <c r="S82" s="519"/>
      <c r="T82" s="519"/>
      <c r="U82" s="519"/>
      <c r="V82" s="519"/>
      <c r="W82" s="522"/>
      <c r="X82" s="522"/>
    </row>
    <row r="83" spans="1:26" s="177" customFormat="1">
      <c r="A83" s="488" t="str">
        <f t="shared" ca="1" si="1"/>
        <v>FANUC will not approve the payload for this robot.</v>
      </c>
      <c r="B83" s="496" t="s">
        <v>3501</v>
      </c>
      <c r="C83" s="496">
        <v>3</v>
      </c>
      <c r="D83" s="509" t="s">
        <v>2101</v>
      </c>
      <c r="E83" s="502"/>
      <c r="F83" s="77" t="s">
        <v>2102</v>
      </c>
      <c r="G83" s="537" t="s">
        <v>1259</v>
      </c>
      <c r="H83" s="537" t="s">
        <v>3577</v>
      </c>
      <c r="I83" s="537" t="s">
        <v>3578</v>
      </c>
      <c r="J83" s="537" t="s">
        <v>1260</v>
      </c>
      <c r="K83" s="537" t="s">
        <v>3579</v>
      </c>
      <c r="L83" s="538" t="s">
        <v>3214</v>
      </c>
      <c r="M83" s="538" t="s">
        <v>3457</v>
      </c>
      <c r="N83" s="539" t="s">
        <v>3580</v>
      </c>
      <c r="O83" s="536">
        <v>0</v>
      </c>
      <c r="P83" s="519"/>
      <c r="Q83" s="519"/>
      <c r="R83" s="519"/>
      <c r="S83" s="519"/>
      <c r="T83" s="519"/>
      <c r="U83" s="519"/>
      <c r="V83" s="519"/>
      <c r="W83" s="522"/>
      <c r="X83" s="522"/>
    </row>
    <row r="84" spans="1:26" s="177" customFormat="1">
      <c r="A84" s="488"/>
      <c r="B84" s="496"/>
      <c r="C84" s="496"/>
      <c r="D84" s="509"/>
      <c r="E84" s="502"/>
      <c r="F84" s="77"/>
      <c r="G84" s="537"/>
      <c r="H84" s="537"/>
      <c r="I84" s="537"/>
      <c r="J84" s="537"/>
      <c r="K84" s="537"/>
      <c r="L84" s="538"/>
      <c r="M84" s="538"/>
      <c r="N84" s="539"/>
      <c r="O84" s="536"/>
      <c r="P84" s="519"/>
      <c r="Q84" s="519"/>
      <c r="R84" s="519"/>
      <c r="S84" s="519"/>
      <c r="T84" s="519"/>
      <c r="U84" s="519"/>
      <c r="V84" s="519"/>
      <c r="W84" s="522"/>
      <c r="X84" s="522"/>
    </row>
    <row r="85" spans="1:26" s="177" customFormat="1">
      <c r="A85" s="488" t="str">
        <f ca="1">OFFSET(E85,0,$E$3)</f>
        <v>Coordinates</v>
      </c>
      <c r="B85" s="496" t="s">
        <v>2103</v>
      </c>
      <c r="C85" s="496">
        <v>4</v>
      </c>
      <c r="D85" s="488">
        <v>4</v>
      </c>
      <c r="E85" s="488" t="s">
        <v>1510</v>
      </c>
      <c r="F85" s="77" t="s">
        <v>2036</v>
      </c>
      <c r="G85" s="77" t="s">
        <v>3581</v>
      </c>
      <c r="H85" s="77" t="s">
        <v>3582</v>
      </c>
      <c r="I85" s="77" t="s">
        <v>25</v>
      </c>
      <c r="J85" s="77" t="s">
        <v>26</v>
      </c>
      <c r="K85" s="77" t="s">
        <v>948</v>
      </c>
      <c r="L85" s="508" t="s">
        <v>3458</v>
      </c>
      <c r="M85" s="508" t="s">
        <v>3459</v>
      </c>
      <c r="N85" s="287" t="s">
        <v>949</v>
      </c>
      <c r="O85" s="536">
        <v>0</v>
      </c>
      <c r="P85" s="519"/>
      <c r="Q85" s="519"/>
      <c r="R85" s="519"/>
      <c r="S85" s="519"/>
      <c r="T85" s="519"/>
      <c r="U85" s="519"/>
      <c r="V85" s="519"/>
      <c r="W85" s="522"/>
      <c r="X85" s="522"/>
    </row>
    <row r="86" spans="1:26" s="177" customFormat="1">
      <c r="A86" s="488" t="str">
        <f ca="1">OFFSET(E86,0,$E$3)</f>
        <v>Coordinates</v>
      </c>
      <c r="B86" s="496" t="s">
        <v>3501</v>
      </c>
      <c r="C86" s="496">
        <v>4</v>
      </c>
      <c r="D86" s="509" t="s">
        <v>2589</v>
      </c>
      <c r="E86" s="502"/>
      <c r="F86" s="77" t="s">
        <v>2036</v>
      </c>
      <c r="G86" s="77" t="s">
        <v>3581</v>
      </c>
      <c r="H86" s="77" t="s">
        <v>3582</v>
      </c>
      <c r="I86" s="77" t="s">
        <v>25</v>
      </c>
      <c r="J86" s="77" t="s">
        <v>26</v>
      </c>
      <c r="K86" s="77" t="s">
        <v>948</v>
      </c>
      <c r="L86" s="508" t="s">
        <v>3458</v>
      </c>
      <c r="M86" s="508" t="s">
        <v>3459</v>
      </c>
      <c r="N86" s="287" t="s">
        <v>949</v>
      </c>
      <c r="O86" s="536">
        <v>0</v>
      </c>
      <c r="P86" s="519"/>
      <c r="Q86" s="519"/>
      <c r="R86" s="519"/>
      <c r="S86" s="519"/>
      <c r="T86" s="519"/>
      <c r="U86" s="519"/>
      <c r="V86" s="519"/>
      <c r="W86" s="522"/>
      <c r="X86" s="522"/>
    </row>
    <row r="87" spans="1:26" s="180" customFormat="1">
      <c r="A87" s="488"/>
      <c r="B87" s="496"/>
      <c r="C87" s="496"/>
      <c r="D87" s="488"/>
      <c r="E87" s="175"/>
      <c r="F87" s="492"/>
      <c r="G87" s="176"/>
      <c r="H87" s="176"/>
      <c r="I87" s="492"/>
      <c r="J87" s="492"/>
      <c r="K87" s="492"/>
      <c r="L87" s="493"/>
      <c r="M87" s="499"/>
      <c r="N87" s="500"/>
      <c r="O87" s="536"/>
      <c r="P87" s="519"/>
      <c r="Q87" s="519"/>
      <c r="R87" s="519"/>
      <c r="S87" s="519"/>
      <c r="T87" s="519"/>
      <c r="U87" s="519"/>
      <c r="V87" s="519"/>
      <c r="W87" s="522"/>
      <c r="X87" s="522"/>
    </row>
    <row r="88" spans="1:26" s="181" customFormat="1">
      <c r="A88" s="181" t="str">
        <f t="shared" ref="A88:A94" ca="1" si="2">OFFSET(E88,0,$E$3)</f>
        <v>Robot Analysis</v>
      </c>
      <c r="B88" s="181" t="s">
        <v>3500</v>
      </c>
      <c r="C88" s="181">
        <v>5</v>
      </c>
      <c r="D88" s="181">
        <v>5</v>
      </c>
      <c r="E88" s="181" t="s">
        <v>1510</v>
      </c>
      <c r="F88" s="181" t="s">
        <v>2037</v>
      </c>
      <c r="G88" s="181" t="s">
        <v>3743</v>
      </c>
      <c r="H88" s="181" t="s">
        <v>3605</v>
      </c>
      <c r="I88" s="181" t="s">
        <v>2638</v>
      </c>
      <c r="J88" s="181" t="s">
        <v>168</v>
      </c>
      <c r="K88" s="488" t="s">
        <v>1906</v>
      </c>
      <c r="L88" s="430" t="s">
        <v>985</v>
      </c>
      <c r="M88" s="526" t="s">
        <v>3369</v>
      </c>
      <c r="N88" s="193" t="s">
        <v>3631</v>
      </c>
      <c r="O88" s="490">
        <v>0</v>
      </c>
      <c r="P88" s="193"/>
      <c r="Q88" s="193"/>
      <c r="R88" s="193"/>
      <c r="S88" s="193"/>
      <c r="T88" s="193"/>
      <c r="U88" s="193"/>
      <c r="V88" s="193"/>
      <c r="W88" s="522"/>
      <c r="X88" s="522"/>
      <c r="Z88" s="180"/>
    </row>
    <row r="89" spans="1:26" s="181" customFormat="1">
      <c r="A89" s="181" t="str">
        <f t="shared" ca="1" si="2"/>
        <v>Robot Analysis</v>
      </c>
      <c r="B89" s="181" t="s">
        <v>3501</v>
      </c>
      <c r="C89" s="181">
        <v>5</v>
      </c>
      <c r="D89" s="181" t="s">
        <v>3502</v>
      </c>
      <c r="E89" s="181" t="s">
        <v>2090</v>
      </c>
      <c r="F89" s="181" t="s">
        <v>2037</v>
      </c>
      <c r="G89" s="181" t="s">
        <v>2144</v>
      </c>
      <c r="H89" s="181" t="s">
        <v>1866</v>
      </c>
      <c r="I89" s="181" t="s">
        <v>2638</v>
      </c>
      <c r="J89" s="181" t="s">
        <v>2018</v>
      </c>
      <c r="K89" s="181" t="s">
        <v>1906</v>
      </c>
      <c r="L89" s="430" t="s">
        <v>985</v>
      </c>
      <c r="M89" s="526" t="s">
        <v>3369</v>
      </c>
      <c r="N89" s="193" t="s">
        <v>3631</v>
      </c>
      <c r="O89" s="490">
        <v>0</v>
      </c>
      <c r="P89" s="193"/>
      <c r="Q89" s="193"/>
      <c r="R89" s="193"/>
      <c r="S89" s="193"/>
      <c r="T89" s="193"/>
      <c r="U89" s="193"/>
      <c r="V89" s="193"/>
      <c r="W89" s="522"/>
      <c r="X89" s="522"/>
      <c r="Z89" s="177"/>
    </row>
    <row r="90" spans="1:26" s="181" customFormat="1">
      <c r="A90" s="181" t="str">
        <f t="shared" ca="1" si="2"/>
        <v>ROBOT INPUT DATA</v>
      </c>
      <c r="B90" s="181" t="s">
        <v>3501</v>
      </c>
      <c r="C90" s="181">
        <v>5</v>
      </c>
      <c r="D90" s="181" t="s">
        <v>3503</v>
      </c>
      <c r="E90" s="181" t="s">
        <v>3322</v>
      </c>
      <c r="F90" s="181" t="s">
        <v>953</v>
      </c>
      <c r="G90" s="181" t="s">
        <v>845</v>
      </c>
      <c r="H90" s="91" t="s">
        <v>1867</v>
      </c>
      <c r="I90" s="181" t="s">
        <v>2639</v>
      </c>
      <c r="J90" s="181" t="s">
        <v>2709</v>
      </c>
      <c r="K90" s="181" t="s">
        <v>3200</v>
      </c>
      <c r="L90" s="430" t="s">
        <v>3460</v>
      </c>
      <c r="M90" s="526" t="s">
        <v>2226</v>
      </c>
      <c r="N90" s="193" t="s">
        <v>223</v>
      </c>
      <c r="O90" s="490">
        <v>0</v>
      </c>
      <c r="P90" s="193"/>
      <c r="Q90" s="193"/>
      <c r="R90" s="193"/>
      <c r="S90" s="193"/>
      <c r="T90" s="193"/>
      <c r="U90" s="193"/>
      <c r="V90" s="193"/>
      <c r="W90" s="522"/>
      <c r="X90" s="522"/>
    </row>
    <row r="91" spans="1:26">
      <c r="A91" s="181" t="str">
        <f t="shared" ca="1" si="2"/>
        <v>Robot Type</v>
      </c>
      <c r="B91" s="181" t="s">
        <v>3501</v>
      </c>
      <c r="C91" s="181">
        <v>5</v>
      </c>
      <c r="D91" s="181" t="s">
        <v>3504</v>
      </c>
      <c r="F91" s="91" t="s">
        <v>3713</v>
      </c>
      <c r="G91" s="91" t="s">
        <v>1220</v>
      </c>
      <c r="H91" s="91" t="s">
        <v>1965</v>
      </c>
      <c r="I91" s="91" t="s">
        <v>2983</v>
      </c>
      <c r="J91" s="91" t="s">
        <v>1589</v>
      </c>
      <c r="K91" s="91" t="s">
        <v>3713</v>
      </c>
      <c r="L91" s="430" t="s">
        <v>986</v>
      </c>
      <c r="M91" s="526" t="s">
        <v>2268</v>
      </c>
      <c r="N91" s="194" t="s">
        <v>750</v>
      </c>
      <c r="O91" s="490">
        <v>1</v>
      </c>
      <c r="P91" s="193">
        <v>6</v>
      </c>
      <c r="Q91" s="193" t="s">
        <v>3405</v>
      </c>
      <c r="R91" s="193"/>
      <c r="S91" s="193"/>
      <c r="T91" s="193"/>
      <c r="U91" s="193"/>
      <c r="W91" s="522"/>
      <c r="X91" s="522"/>
    </row>
    <row r="92" spans="1:26">
      <c r="A92" s="181" t="str">
        <f t="shared" ca="1" si="2"/>
        <v>Payload Input Type</v>
      </c>
      <c r="B92" s="181" t="s">
        <v>3501</v>
      </c>
      <c r="C92" s="181">
        <v>5</v>
      </c>
      <c r="D92" s="181" t="s">
        <v>2590</v>
      </c>
      <c r="F92" s="91" t="s">
        <v>2974</v>
      </c>
      <c r="G92" s="91" t="s">
        <v>993</v>
      </c>
      <c r="H92" s="91" t="s">
        <v>3606</v>
      </c>
      <c r="I92" s="91" t="s">
        <v>3184</v>
      </c>
      <c r="J92" s="91" t="s">
        <v>3468</v>
      </c>
      <c r="K92" s="91" t="s">
        <v>2298</v>
      </c>
      <c r="L92" s="430" t="s">
        <v>1585</v>
      </c>
      <c r="M92" s="526" t="s">
        <v>3441</v>
      </c>
      <c r="N92" s="194" t="s">
        <v>857</v>
      </c>
      <c r="O92" s="490">
        <v>0</v>
      </c>
      <c r="P92" s="193"/>
      <c r="Q92" s="193"/>
      <c r="R92" s="193"/>
      <c r="S92" s="193"/>
      <c r="T92" s="193"/>
      <c r="U92" s="193"/>
      <c r="W92" s="522"/>
      <c r="X92" s="522"/>
    </row>
    <row r="93" spans="1:26">
      <c r="A93" s="181" t="str">
        <f t="shared" ca="1" si="2"/>
        <v>Robot File Reference Number</v>
      </c>
      <c r="B93" s="181" t="s">
        <v>3501</v>
      </c>
      <c r="C93" s="181">
        <v>5</v>
      </c>
      <c r="D93" s="181" t="s">
        <v>1430</v>
      </c>
      <c r="F93" s="91" t="s">
        <v>3780</v>
      </c>
      <c r="G93" s="91" t="s">
        <v>3593</v>
      </c>
      <c r="H93" s="91" t="s">
        <v>1112</v>
      </c>
      <c r="I93" s="91" t="s">
        <v>1704</v>
      </c>
      <c r="J93" s="91" t="s">
        <v>1405</v>
      </c>
      <c r="K93" s="91" t="s">
        <v>415</v>
      </c>
      <c r="L93" s="430" t="s">
        <v>1586</v>
      </c>
      <c r="M93" s="526" t="s">
        <v>1587</v>
      </c>
      <c r="N93" s="194" t="s">
        <v>858</v>
      </c>
      <c r="O93" s="490">
        <v>0</v>
      </c>
      <c r="P93" s="193"/>
      <c r="Q93" s="193"/>
      <c r="R93" s="193"/>
      <c r="S93" s="193"/>
      <c r="T93" s="193"/>
      <c r="U93" s="193"/>
      <c r="W93" s="522"/>
      <c r="X93" s="522"/>
    </row>
    <row r="94" spans="1:26" s="385" customFormat="1">
      <c r="A94" s="386" t="str">
        <f t="shared" ca="1" si="2"/>
        <v>J5 Offset</v>
      </c>
      <c r="B94" s="386" t="s">
        <v>3501</v>
      </c>
      <c r="C94" s="386">
        <v>5</v>
      </c>
      <c r="D94" s="386" t="s">
        <v>1431</v>
      </c>
      <c r="F94" s="385" t="str">
        <f>IF(Axis_Count=1,"J4 Offset", "J5 Offset")</f>
        <v>J5 Offset</v>
      </c>
      <c r="G94" s="385" t="str">
        <f>IF(Axis_Count=1,"Offset J4", "Offset J5 ")</f>
        <v xml:space="preserve">Offset J5 </v>
      </c>
      <c r="H94" s="385" t="str">
        <f>IF(Axis_Count=1,"J4 Offset", "J5 Offset")</f>
        <v>J5 Offset</v>
      </c>
      <c r="I94" s="385" t="str">
        <f>IF(Axis_Count=1,"Offset J4", "Offset J5 ")</f>
        <v xml:space="preserve">Offset J5 </v>
      </c>
      <c r="J94" s="385" t="str">
        <f>IF(Axis_Count=1,"Distanza dall'asse J4", "Distanza dall'asse J5 ")</f>
        <v xml:space="preserve">Distanza dall'asse J5 </v>
      </c>
      <c r="K94" s="385" t="str">
        <f>IF(Axis_Count=1,"J4 Offset", "J5 Offset")</f>
        <v>J5 Offset</v>
      </c>
      <c r="L94" s="431" t="str">
        <f>IF(Axis_Count=1,"J4 옵셋", "J5 옵셋")</f>
        <v>J5 옵셋</v>
      </c>
      <c r="M94" s="526" t="str">
        <f>IF(Axis_Count=1,"J4偏移量", "J5偏移量")</f>
        <v>J5偏移量</v>
      </c>
      <c r="N94" s="434" t="str">
        <f>IF(Axis_Count=1,"J4オフセット", "J5オフセット")</f>
        <v>J5オフセット</v>
      </c>
      <c r="O94" s="490">
        <v>0</v>
      </c>
      <c r="P94" s="193"/>
      <c r="Q94" s="193"/>
      <c r="R94" s="193"/>
      <c r="S94" s="193"/>
      <c r="T94" s="193"/>
      <c r="U94" s="193"/>
      <c r="V94" s="434"/>
      <c r="W94" s="522"/>
      <c r="X94" s="522"/>
    </row>
    <row r="95" spans="1:26">
      <c r="A95" s="181"/>
      <c r="B95" s="181"/>
      <c r="C95" s="181"/>
      <c r="D95" s="181"/>
      <c r="P95" s="193"/>
      <c r="Q95" s="193"/>
      <c r="R95" s="193"/>
      <c r="S95" s="193"/>
      <c r="T95" s="193"/>
      <c r="U95" s="193"/>
    </row>
    <row r="96" spans="1:26">
      <c r="A96" s="181" t="str">
        <f t="shared" ref="A96:A106" ca="1" si="3">OFFSET(E96,0,$E$3)</f>
        <v>WORKING  DATA</v>
      </c>
      <c r="B96" s="181" t="s">
        <v>3501</v>
      </c>
      <c r="C96" s="181">
        <v>5</v>
      </c>
      <c r="D96" s="181" t="s">
        <v>1432</v>
      </c>
      <c r="E96" s="91" t="s">
        <v>1681</v>
      </c>
      <c r="F96" s="91" t="s">
        <v>697</v>
      </c>
      <c r="G96" s="181" t="s">
        <v>846</v>
      </c>
      <c r="H96" s="91" t="s">
        <v>41</v>
      </c>
      <c r="I96" s="91" t="s">
        <v>535</v>
      </c>
      <c r="J96" s="91" t="s">
        <v>1656</v>
      </c>
      <c r="K96" s="91" t="s">
        <v>2714</v>
      </c>
      <c r="L96" s="430" t="s">
        <v>987</v>
      </c>
      <c r="M96" s="526" t="s">
        <v>219</v>
      </c>
      <c r="N96" s="194" t="s">
        <v>2187</v>
      </c>
      <c r="O96" s="490">
        <v>0</v>
      </c>
      <c r="P96" s="193"/>
      <c r="Q96" s="193"/>
      <c r="R96" s="193"/>
      <c r="S96" s="193"/>
      <c r="T96" s="193"/>
      <c r="U96" s="193"/>
    </row>
    <row r="97" spans="1:21">
      <c r="A97" s="181" t="str">
        <f ca="1">OFFSET(E97,0,$E$3)</f>
        <v>Specification</v>
      </c>
      <c r="B97" s="91" t="s">
        <v>3501</v>
      </c>
      <c r="C97" s="91">
        <v>5</v>
      </c>
      <c r="D97" s="91" t="s">
        <v>1433</v>
      </c>
      <c r="E97" s="91" t="s">
        <v>960</v>
      </c>
      <c r="F97" s="91" t="s">
        <v>1832</v>
      </c>
      <c r="G97" s="91" t="s">
        <v>963</v>
      </c>
      <c r="H97" s="91" t="s">
        <v>964</v>
      </c>
      <c r="I97" s="91" t="s">
        <v>1466</v>
      </c>
      <c r="J97" s="91" t="s">
        <v>2351</v>
      </c>
      <c r="K97" s="91" t="s">
        <v>1957</v>
      </c>
      <c r="L97" s="430" t="s">
        <v>988</v>
      </c>
      <c r="M97" s="526" t="s">
        <v>2758</v>
      </c>
      <c r="N97" s="194" t="s">
        <v>2549</v>
      </c>
      <c r="O97" s="490">
        <v>0</v>
      </c>
      <c r="P97" s="193"/>
      <c r="Q97" s="193"/>
      <c r="R97" s="193"/>
      <c r="S97" s="193"/>
      <c r="T97" s="193"/>
      <c r="U97" s="193"/>
    </row>
    <row r="98" spans="1:21">
      <c r="A98" s="181" t="str">
        <f ca="1">OFFSET(E98,0,$E$3)</f>
        <v>Actual Value</v>
      </c>
      <c r="B98" s="91" t="s">
        <v>3501</v>
      </c>
      <c r="C98" s="91">
        <v>5</v>
      </c>
      <c r="D98" s="91" t="s">
        <v>1434</v>
      </c>
      <c r="F98" s="91" t="s">
        <v>961</v>
      </c>
      <c r="G98" s="91" t="s">
        <v>962</v>
      </c>
      <c r="H98" s="91" t="s">
        <v>965</v>
      </c>
      <c r="I98" s="91" t="s">
        <v>1467</v>
      </c>
      <c r="J98" s="91" t="s">
        <v>1468</v>
      </c>
      <c r="K98" s="91" t="s">
        <v>2548</v>
      </c>
      <c r="L98" s="430" t="s">
        <v>989</v>
      </c>
      <c r="M98" s="526" t="s">
        <v>1588</v>
      </c>
      <c r="N98" s="194" t="s">
        <v>2550</v>
      </c>
      <c r="O98" s="490">
        <v>0</v>
      </c>
      <c r="P98" s="193"/>
      <c r="Q98" s="193"/>
      <c r="R98" s="193"/>
      <c r="S98" s="193"/>
      <c r="T98" s="193"/>
      <c r="U98" s="193"/>
    </row>
    <row r="99" spans="1:21">
      <c r="A99" s="181" t="str">
        <f t="shared" ca="1" si="3"/>
        <v>J6 Payload (kg)</v>
      </c>
      <c r="B99" s="181" t="s">
        <v>3501</v>
      </c>
      <c r="C99" s="181">
        <v>5</v>
      </c>
      <c r="D99" s="181" t="s">
        <v>1435</v>
      </c>
      <c r="F99" s="91" t="str">
        <f>IF(Axis_Count=1,"J5 Payload (kg)", "J6 Payload (kg)")</f>
        <v>J6 Payload (kg)</v>
      </c>
      <c r="G99" s="91" t="str">
        <f>IF(Axis_Count=1,"Charge utile J5 (kg)", "Charge utile J6 (kg)")</f>
        <v>Charge utile J6 (kg)</v>
      </c>
      <c r="H99" s="91" t="str">
        <f>IF(Axis_Count=1,"J5 Traglast (kg)", "J6 Traglast (kg)")</f>
        <v>J6 Traglast (kg)</v>
      </c>
      <c r="I99" s="91" t="str">
        <f>IF(Axis_Count=1,"Carga J5 (kg)", "Carga J6 (kg)")</f>
        <v>Carga J6 (kg)</v>
      </c>
      <c r="J99" s="91" t="str">
        <f>IF(Axis_Count=1,"Carico utile J5 (kg)", "Carico utile J6 (kg)")</f>
        <v>Carico utile J6 (kg)</v>
      </c>
      <c r="K99" s="91" t="str">
        <f>IF(Axis_Count=1,"J5 Draaglast (Kg)", "J6 Draaglast (Kg)")</f>
        <v>J6 Draaglast (Kg)</v>
      </c>
      <c r="L99" s="432" t="str">
        <f>IF(Axis_Count=1,"J5 가반질량(Kg)", "J6 가반질량(Kg)")</f>
        <v>J6 가반질량(Kg)</v>
      </c>
      <c r="M99" s="526" t="str">
        <f>IF(Axis_Count=1,"J5可搬重量(kg)", "J6可搬重量(kg)")</f>
        <v>J6可搬重量(kg)</v>
      </c>
      <c r="N99" s="194" t="str">
        <f>IF(Axis_Count=1,"J5 可搬質量 (kg)", "J6 可搬質量 (kg)")</f>
        <v>J6 可搬質量 (kg)</v>
      </c>
      <c r="O99" s="490">
        <v>0</v>
      </c>
      <c r="P99" s="193"/>
      <c r="Q99" s="193"/>
      <c r="R99" s="193"/>
      <c r="S99" s="193"/>
      <c r="T99" s="193"/>
      <c r="U99" s="193"/>
    </row>
    <row r="100" spans="1:21">
      <c r="A100" s="181" t="str">
        <f t="shared" ca="1" si="3"/>
        <v>J3 Arm/J3 Casing Load (kg)</v>
      </c>
      <c r="B100" s="181" t="s">
        <v>3501</v>
      </c>
      <c r="C100" s="181">
        <v>5</v>
      </c>
      <c r="D100" s="181" t="s">
        <v>1436</v>
      </c>
      <c r="F100" s="908" t="s">
        <v>1146</v>
      </c>
      <c r="G100" s="908" t="s">
        <v>1147</v>
      </c>
      <c r="H100" s="908" t="s">
        <v>1148</v>
      </c>
      <c r="I100" s="908" t="s">
        <v>1149</v>
      </c>
      <c r="J100" s="908" t="s">
        <v>1150</v>
      </c>
      <c r="K100" s="908" t="s">
        <v>1151</v>
      </c>
      <c r="L100" s="917" t="s">
        <v>1152</v>
      </c>
      <c r="M100" s="918" t="s">
        <v>1153</v>
      </c>
      <c r="N100" s="377" t="s">
        <v>1154</v>
      </c>
      <c r="O100" s="490">
        <v>0</v>
      </c>
      <c r="P100" s="193"/>
      <c r="Q100" s="193"/>
      <c r="R100" s="193"/>
      <c r="S100" s="193"/>
      <c r="T100" s="193"/>
      <c r="U100" s="193"/>
    </row>
    <row r="101" spans="1:21">
      <c r="A101" s="181" t="str">
        <f t="shared" ca="1" si="3"/>
        <v>Axis 4 Moment (Nm)</v>
      </c>
      <c r="B101" s="181" t="s">
        <v>3501</v>
      </c>
      <c r="C101" s="181">
        <v>5</v>
      </c>
      <c r="D101" s="181" t="s">
        <v>2800</v>
      </c>
      <c r="F101" s="91" t="s">
        <v>364</v>
      </c>
      <c r="G101" s="91" t="s">
        <v>3124</v>
      </c>
      <c r="H101" s="91" t="s">
        <v>1966</v>
      </c>
      <c r="I101" s="91" t="s">
        <v>3849</v>
      </c>
      <c r="J101" s="91" t="s">
        <v>1171</v>
      </c>
      <c r="K101" s="91" t="s">
        <v>1815</v>
      </c>
      <c r="L101" s="430" t="s">
        <v>2895</v>
      </c>
      <c r="M101" s="526" t="s">
        <v>685</v>
      </c>
      <c r="N101" s="194" t="s">
        <v>1983</v>
      </c>
      <c r="O101" s="490">
        <v>0</v>
      </c>
      <c r="P101" s="193"/>
      <c r="Q101" s="193"/>
      <c r="R101" s="193"/>
      <c r="S101" s="193"/>
      <c r="T101" s="193"/>
      <c r="U101" s="193"/>
    </row>
    <row r="102" spans="1:21">
      <c r="A102" s="181" t="str">
        <f t="shared" ca="1" si="3"/>
        <v>Axis 5 Moment (Nm)</v>
      </c>
      <c r="B102" s="181" t="s">
        <v>3501</v>
      </c>
      <c r="C102" s="181">
        <v>5</v>
      </c>
      <c r="D102" s="181" t="s">
        <v>195</v>
      </c>
      <c r="F102" s="91" t="s">
        <v>365</v>
      </c>
      <c r="G102" s="91" t="s">
        <v>3125</v>
      </c>
      <c r="H102" s="91" t="s">
        <v>2657</v>
      </c>
      <c r="I102" s="91" t="s">
        <v>3850</v>
      </c>
      <c r="J102" s="91" t="s">
        <v>1424</v>
      </c>
      <c r="K102" s="91" t="s">
        <v>843</v>
      </c>
      <c r="L102" s="430" t="s">
        <v>2896</v>
      </c>
      <c r="M102" s="526" t="s">
        <v>3065</v>
      </c>
      <c r="N102" s="194" t="s">
        <v>1984</v>
      </c>
      <c r="O102" s="490">
        <v>0</v>
      </c>
      <c r="P102" s="193"/>
      <c r="Q102" s="193"/>
      <c r="R102" s="193"/>
      <c r="S102" s="193"/>
      <c r="T102" s="193"/>
      <c r="U102" s="193"/>
    </row>
    <row r="103" spans="1:21">
      <c r="A103" s="181" t="str">
        <f t="shared" ca="1" si="3"/>
        <v>Axis 6 Moment (Nm)</v>
      </c>
      <c r="B103" s="181" t="s">
        <v>3501</v>
      </c>
      <c r="C103" s="181">
        <v>5</v>
      </c>
      <c r="D103" s="181" t="s">
        <v>196</v>
      </c>
      <c r="F103" s="91" t="s">
        <v>366</v>
      </c>
      <c r="G103" s="91" t="s">
        <v>1354</v>
      </c>
      <c r="H103" s="91" t="s">
        <v>3664</v>
      </c>
      <c r="I103" s="91" t="s">
        <v>2195</v>
      </c>
      <c r="J103" s="91" t="s">
        <v>2120</v>
      </c>
      <c r="K103" s="91" t="s">
        <v>2942</v>
      </c>
      <c r="L103" s="430" t="s">
        <v>472</v>
      </c>
      <c r="M103" s="526" t="s">
        <v>3066</v>
      </c>
      <c r="N103" s="194" t="s">
        <v>1985</v>
      </c>
      <c r="O103" s="490">
        <v>0</v>
      </c>
      <c r="P103" s="193"/>
      <c r="Q103" s="193"/>
      <c r="R103" s="193"/>
      <c r="S103" s="193"/>
      <c r="T103" s="193"/>
      <c r="U103" s="193"/>
    </row>
    <row r="104" spans="1:21">
      <c r="A104" s="181" t="str">
        <f t="shared" ca="1" si="3"/>
        <v>Axis 4 Inertia (Kg.m^2)</v>
      </c>
      <c r="B104" s="181" t="s">
        <v>3501</v>
      </c>
      <c r="C104" s="181">
        <v>5</v>
      </c>
      <c r="D104" s="181" t="s">
        <v>197</v>
      </c>
      <c r="F104" s="91" t="s">
        <v>1914</v>
      </c>
      <c r="G104" s="91" t="s">
        <v>2504</v>
      </c>
      <c r="H104" s="91" t="s">
        <v>3665</v>
      </c>
      <c r="I104" s="91" t="s">
        <v>1707</v>
      </c>
      <c r="J104" s="91" t="s">
        <v>3193</v>
      </c>
      <c r="K104" s="91" t="s">
        <v>131</v>
      </c>
      <c r="L104" s="430" t="s">
        <v>3067</v>
      </c>
      <c r="M104" s="526" t="s">
        <v>3068</v>
      </c>
      <c r="N104" s="194" t="s">
        <v>543</v>
      </c>
      <c r="O104" s="490">
        <v>0</v>
      </c>
      <c r="P104" s="193"/>
      <c r="Q104" s="193"/>
      <c r="R104" s="193"/>
      <c r="S104" s="193"/>
      <c r="T104" s="193"/>
      <c r="U104" s="193"/>
    </row>
    <row r="105" spans="1:21">
      <c r="A105" s="181" t="str">
        <f t="shared" ca="1" si="3"/>
        <v>Axis 5 Inertia (Kg.m^2)</v>
      </c>
      <c r="B105" s="181" t="s">
        <v>3501</v>
      </c>
      <c r="C105" s="181">
        <v>5</v>
      </c>
      <c r="D105" s="181" t="s">
        <v>198</v>
      </c>
      <c r="F105" s="91" t="s">
        <v>1915</v>
      </c>
      <c r="G105" s="91" t="s">
        <v>1621</v>
      </c>
      <c r="H105" s="91" t="s">
        <v>2264</v>
      </c>
      <c r="I105" s="91" t="s">
        <v>428</v>
      </c>
      <c r="J105" s="91" t="s">
        <v>349</v>
      </c>
      <c r="K105" s="91" t="s">
        <v>1787</v>
      </c>
      <c r="L105" s="430" t="s">
        <v>3069</v>
      </c>
      <c r="M105" s="526" t="s">
        <v>3070</v>
      </c>
      <c r="N105" s="194" t="s">
        <v>544</v>
      </c>
      <c r="O105" s="490">
        <v>0</v>
      </c>
      <c r="P105" s="193"/>
      <c r="Q105" s="193"/>
      <c r="R105" s="193"/>
      <c r="S105" s="193"/>
      <c r="T105" s="193"/>
      <c r="U105" s="193"/>
    </row>
    <row r="106" spans="1:21">
      <c r="A106" s="181" t="str">
        <f t="shared" ca="1" si="3"/>
        <v>Axis 6 Inertia (Kg.m^2)</v>
      </c>
      <c r="B106" s="181" t="s">
        <v>3501</v>
      </c>
      <c r="C106" s="181">
        <v>5</v>
      </c>
      <c r="D106" s="181" t="s">
        <v>199</v>
      </c>
      <c r="F106" s="91" t="s">
        <v>554</v>
      </c>
      <c r="G106" s="91" t="s">
        <v>3535</v>
      </c>
      <c r="H106" s="91" t="s">
        <v>3438</v>
      </c>
      <c r="I106" s="91" t="s">
        <v>429</v>
      </c>
      <c r="J106" s="91" t="s">
        <v>1534</v>
      </c>
      <c r="K106" s="91" t="s">
        <v>1788</v>
      </c>
      <c r="L106" s="430" t="s">
        <v>1267</v>
      </c>
      <c r="M106" s="526" t="s">
        <v>1268</v>
      </c>
      <c r="N106" s="194" t="s">
        <v>545</v>
      </c>
      <c r="O106" s="490">
        <v>0</v>
      </c>
      <c r="P106" s="193"/>
      <c r="Q106" s="193"/>
      <c r="R106" s="193"/>
      <c r="S106" s="193"/>
      <c r="T106" s="193"/>
      <c r="U106" s="193"/>
    </row>
    <row r="107" spans="1:21">
      <c r="A107" s="181"/>
      <c r="B107" s="181"/>
      <c r="C107" s="181"/>
      <c r="D107" s="181"/>
      <c r="P107" s="193"/>
      <c r="Q107" s="193"/>
      <c r="R107" s="193"/>
      <c r="S107" s="193"/>
      <c r="T107" s="193"/>
      <c r="U107" s="193"/>
    </row>
    <row r="108" spans="1:21">
      <c r="A108" s="181" t="str">
        <f t="shared" ref="A108:A113" ca="1" si="4">OFFSET(E108,0,$E$3)</f>
        <v>REFERENCE DATA</v>
      </c>
      <c r="B108" s="181" t="s">
        <v>3501</v>
      </c>
      <c r="C108" s="181">
        <v>5</v>
      </c>
      <c r="D108" s="181" t="s">
        <v>2088</v>
      </c>
      <c r="E108" s="91" t="s">
        <v>2713</v>
      </c>
      <c r="F108" s="91" t="s">
        <v>449</v>
      </c>
      <c r="G108" s="181" t="s">
        <v>496</v>
      </c>
      <c r="H108" s="91" t="s">
        <v>2804</v>
      </c>
      <c r="I108" s="91" t="s">
        <v>83</v>
      </c>
      <c r="J108" s="91" t="s">
        <v>1538</v>
      </c>
      <c r="K108" s="91" t="s">
        <v>1682</v>
      </c>
      <c r="L108" s="430" t="s">
        <v>2340</v>
      </c>
      <c r="M108" s="526" t="s">
        <v>473</v>
      </c>
      <c r="N108" s="194" t="s">
        <v>3425</v>
      </c>
      <c r="O108" s="490">
        <v>1</v>
      </c>
      <c r="P108" s="193">
        <v>6</v>
      </c>
      <c r="Q108" s="193" t="s">
        <v>3148</v>
      </c>
      <c r="R108" s="193"/>
      <c r="S108" s="193"/>
      <c r="T108" s="193"/>
      <c r="U108" s="193"/>
    </row>
    <row r="109" spans="1:21">
      <c r="A109" s="181" t="str">
        <f t="shared" ca="1" si="4"/>
        <v>Robot E#</v>
      </c>
      <c r="B109" s="181" t="s">
        <v>3501</v>
      </c>
      <c r="C109" s="181">
        <v>5</v>
      </c>
      <c r="D109" s="181" t="s">
        <v>2089</v>
      </c>
      <c r="F109" s="91" t="s">
        <v>3483</v>
      </c>
      <c r="G109" s="91" t="s">
        <v>3483</v>
      </c>
      <c r="H109" s="91" t="s">
        <v>3126</v>
      </c>
      <c r="I109" s="91" t="s">
        <v>3483</v>
      </c>
      <c r="J109" s="91" t="s">
        <v>2736</v>
      </c>
      <c r="K109" s="91" t="s">
        <v>3483</v>
      </c>
      <c r="L109" s="430" t="s">
        <v>506</v>
      </c>
      <c r="M109" s="526" t="s">
        <v>507</v>
      </c>
      <c r="N109" s="194" t="s">
        <v>546</v>
      </c>
      <c r="O109" s="490">
        <v>1</v>
      </c>
      <c r="P109" s="193">
        <v>6</v>
      </c>
      <c r="Q109" s="193" t="s">
        <v>2697</v>
      </c>
      <c r="R109" s="193"/>
      <c r="S109" s="193"/>
      <c r="T109" s="193"/>
      <c r="U109" s="193"/>
    </row>
    <row r="110" spans="1:21">
      <c r="A110" s="181" t="str">
        <f t="shared" ca="1" si="4"/>
        <v>Tool #</v>
      </c>
      <c r="B110" s="181" t="s">
        <v>3501</v>
      </c>
      <c r="C110" s="181">
        <v>5</v>
      </c>
      <c r="D110" s="181" t="s">
        <v>200</v>
      </c>
      <c r="F110" s="91" t="s">
        <v>60</v>
      </c>
      <c r="G110" s="91" t="s">
        <v>287</v>
      </c>
      <c r="H110" s="91" t="s">
        <v>1475</v>
      </c>
      <c r="I110" s="91" t="s">
        <v>1476</v>
      </c>
      <c r="J110" s="91" t="s">
        <v>3826</v>
      </c>
      <c r="K110" s="91" t="s">
        <v>3827</v>
      </c>
      <c r="L110" s="430" t="s">
        <v>2140</v>
      </c>
      <c r="M110" s="526" t="s">
        <v>3230</v>
      </c>
      <c r="N110" s="194" t="s">
        <v>715</v>
      </c>
      <c r="O110" s="490">
        <v>1</v>
      </c>
      <c r="P110" s="193">
        <v>6</v>
      </c>
      <c r="Q110" s="193" t="s">
        <v>2698</v>
      </c>
      <c r="R110" s="193"/>
      <c r="S110" s="193"/>
      <c r="T110" s="193"/>
      <c r="U110" s="193"/>
    </row>
    <row r="111" spans="1:21">
      <c r="A111" s="181" t="str">
        <f t="shared" ca="1" si="4"/>
        <v>Robot Station #</v>
      </c>
      <c r="B111" s="181" t="s">
        <v>3501</v>
      </c>
      <c r="C111" s="181">
        <v>5</v>
      </c>
      <c r="D111" s="181" t="s">
        <v>201</v>
      </c>
      <c r="F111" s="91" t="s">
        <v>3484</v>
      </c>
      <c r="G111" s="91" t="s">
        <v>3744</v>
      </c>
      <c r="H111" s="91" t="s">
        <v>431</v>
      </c>
      <c r="I111" s="91" t="s">
        <v>84</v>
      </c>
      <c r="J111" s="91" t="s">
        <v>1981</v>
      </c>
      <c r="K111" s="91" t="s">
        <v>3484</v>
      </c>
      <c r="L111" s="430" t="s">
        <v>508</v>
      </c>
      <c r="M111" s="526" t="s">
        <v>509</v>
      </c>
      <c r="N111" s="194" t="s">
        <v>2284</v>
      </c>
      <c r="O111" s="490">
        <v>1</v>
      </c>
      <c r="P111" s="193">
        <v>6</v>
      </c>
      <c r="Q111" s="193" t="s">
        <v>2699</v>
      </c>
      <c r="R111" s="193"/>
      <c r="S111" s="193"/>
      <c r="T111" s="193"/>
      <c r="U111" s="193"/>
    </row>
    <row r="112" spans="1:21">
      <c r="A112" s="181" t="str">
        <f t="shared" ca="1" si="4"/>
        <v>Engineer</v>
      </c>
      <c r="B112" s="181" t="s">
        <v>3501</v>
      </c>
      <c r="C112" s="181">
        <v>5</v>
      </c>
      <c r="D112" s="181" t="s">
        <v>202</v>
      </c>
      <c r="F112" s="91" t="s">
        <v>311</v>
      </c>
      <c r="G112" s="91" t="s">
        <v>713</v>
      </c>
      <c r="H112" s="91" t="s">
        <v>1665</v>
      </c>
      <c r="I112" s="91" t="s">
        <v>3623</v>
      </c>
      <c r="J112" s="91" t="s">
        <v>1982</v>
      </c>
      <c r="K112" s="91" t="s">
        <v>1683</v>
      </c>
      <c r="L112" s="430" t="s">
        <v>510</v>
      </c>
      <c r="M112" s="526" t="s">
        <v>511</v>
      </c>
      <c r="N112" s="194" t="s">
        <v>705</v>
      </c>
      <c r="O112" s="490">
        <v>1</v>
      </c>
      <c r="P112" s="193">
        <v>6</v>
      </c>
      <c r="Q112" s="193" t="s">
        <v>2700</v>
      </c>
      <c r="R112" s="193"/>
      <c r="S112" s="193"/>
      <c r="T112" s="193"/>
      <c r="U112" s="193"/>
    </row>
    <row r="113" spans="1:21">
      <c r="A113" s="181" t="str">
        <f t="shared" ca="1" si="4"/>
        <v>Comment</v>
      </c>
      <c r="B113" s="181" t="s">
        <v>3501</v>
      </c>
      <c r="C113" s="181">
        <v>5</v>
      </c>
      <c r="D113" s="181" t="s">
        <v>2452</v>
      </c>
      <c r="F113" s="91" t="s">
        <v>312</v>
      </c>
      <c r="G113" s="91" t="s">
        <v>1111</v>
      </c>
      <c r="H113" s="91" t="s">
        <v>227</v>
      </c>
      <c r="I113" s="91" t="s">
        <v>984</v>
      </c>
      <c r="J113" s="91" t="s">
        <v>3517</v>
      </c>
      <c r="K113" s="91" t="s">
        <v>1404</v>
      </c>
      <c r="L113" s="430" t="s">
        <v>512</v>
      </c>
      <c r="M113" s="526" t="s">
        <v>513</v>
      </c>
      <c r="N113" s="194" t="s">
        <v>2236</v>
      </c>
      <c r="O113" s="490">
        <v>1</v>
      </c>
      <c r="P113" s="193">
        <v>6</v>
      </c>
      <c r="Q113" s="193" t="s">
        <v>2701</v>
      </c>
      <c r="R113" s="193"/>
      <c r="S113" s="193"/>
      <c r="T113" s="193"/>
      <c r="U113" s="193"/>
    </row>
    <row r="114" spans="1:21">
      <c r="A114" s="181"/>
      <c r="B114" s="181"/>
      <c r="C114" s="181"/>
      <c r="D114" s="181"/>
      <c r="P114" s="193"/>
      <c r="Q114" s="193"/>
      <c r="R114" s="193"/>
      <c r="S114" s="193"/>
      <c r="T114" s="193"/>
      <c r="U114" s="193"/>
    </row>
    <row r="115" spans="1:21">
      <c r="A115" s="181" t="str">
        <f ca="1">OFFSET(E115,0,$E$3)</f>
        <v>SUMMARY RESULTS</v>
      </c>
      <c r="B115" s="181" t="s">
        <v>3501</v>
      </c>
      <c r="C115" s="181">
        <v>5</v>
      </c>
      <c r="D115" s="181" t="s">
        <v>1916</v>
      </c>
      <c r="E115" s="91" t="s">
        <v>2285</v>
      </c>
      <c r="F115" s="91" t="s">
        <v>3830</v>
      </c>
      <c r="G115" s="181" t="s">
        <v>497</v>
      </c>
      <c r="H115" s="91" t="s">
        <v>2805</v>
      </c>
      <c r="I115" s="91" t="s">
        <v>2305</v>
      </c>
      <c r="J115" s="91" t="s">
        <v>1058</v>
      </c>
      <c r="K115" s="91" t="s">
        <v>1705</v>
      </c>
      <c r="L115" s="430" t="s">
        <v>475</v>
      </c>
      <c r="M115" s="526" t="s">
        <v>474</v>
      </c>
      <c r="N115" s="194" t="s">
        <v>2224</v>
      </c>
      <c r="O115" s="490">
        <v>0</v>
      </c>
      <c r="P115" s="193"/>
      <c r="Q115" s="193"/>
      <c r="R115" s="193"/>
      <c r="S115" s="193"/>
      <c r="T115" s="193"/>
      <c r="U115" s="193"/>
    </row>
    <row r="116" spans="1:21">
      <c r="A116" s="181" t="str">
        <f ca="1">OFFSET(E116,0,$E$3)</f>
        <v xml:space="preserve">Payload </v>
      </c>
      <c r="B116" s="181" t="s">
        <v>3501</v>
      </c>
      <c r="C116" s="181">
        <v>5</v>
      </c>
      <c r="D116" s="181" t="s">
        <v>203</v>
      </c>
      <c r="F116" s="91" t="s">
        <v>748</v>
      </c>
      <c r="G116" s="91" t="s">
        <v>1174</v>
      </c>
      <c r="H116" s="91" t="s">
        <v>1477</v>
      </c>
      <c r="I116" s="91" t="s">
        <v>432</v>
      </c>
      <c r="J116" s="91" t="s">
        <v>2616</v>
      </c>
      <c r="K116" s="91" t="s">
        <v>252</v>
      </c>
      <c r="L116" s="430" t="s">
        <v>476</v>
      </c>
      <c r="M116" s="526" t="s">
        <v>1086</v>
      </c>
      <c r="N116" s="194" t="s">
        <v>1918</v>
      </c>
      <c r="O116" s="490">
        <v>0</v>
      </c>
      <c r="P116" s="193"/>
      <c r="Q116" s="193"/>
      <c r="R116" s="193"/>
      <c r="S116" s="193"/>
      <c r="T116" s="193"/>
      <c r="U116" s="193"/>
    </row>
    <row r="117" spans="1:21">
      <c r="A117" s="181" t="str">
        <f ca="1">OFFSET(E117,0,$E$3)</f>
        <v>Moments</v>
      </c>
      <c r="B117" s="181" t="s">
        <v>3501</v>
      </c>
      <c r="C117" s="181">
        <v>5</v>
      </c>
      <c r="D117" s="181" t="s">
        <v>826</v>
      </c>
      <c r="F117" s="91" t="s">
        <v>348</v>
      </c>
      <c r="G117" s="91" t="s">
        <v>348</v>
      </c>
      <c r="H117" s="91" t="s">
        <v>1109</v>
      </c>
      <c r="I117" s="91" t="s">
        <v>433</v>
      </c>
      <c r="J117" s="91" t="s">
        <v>2465</v>
      </c>
      <c r="K117" s="91" t="s">
        <v>1095</v>
      </c>
      <c r="L117" s="430" t="s">
        <v>478</v>
      </c>
      <c r="M117" s="526" t="s">
        <v>1399</v>
      </c>
      <c r="N117" s="194" t="s">
        <v>477</v>
      </c>
      <c r="O117" s="490">
        <v>0</v>
      </c>
      <c r="P117" s="193"/>
      <c r="Q117" s="193"/>
      <c r="R117" s="193"/>
      <c r="S117" s="193"/>
      <c r="T117" s="193"/>
      <c r="U117" s="193"/>
    </row>
    <row r="118" spans="1:21">
      <c r="A118" s="181" t="str">
        <f ca="1">OFFSET(E118,0,$E$3)</f>
        <v>Inertias</v>
      </c>
      <c r="B118" s="181" t="s">
        <v>3501</v>
      </c>
      <c r="C118" s="181">
        <v>5</v>
      </c>
      <c r="D118" s="181" t="s">
        <v>1068</v>
      </c>
      <c r="F118" s="91" t="s">
        <v>488</v>
      </c>
      <c r="G118" s="91" t="s">
        <v>135</v>
      </c>
      <c r="H118" s="91" t="s">
        <v>3559</v>
      </c>
      <c r="I118" s="91" t="s">
        <v>2332</v>
      </c>
      <c r="J118" s="91" t="s">
        <v>161</v>
      </c>
      <c r="K118" s="91" t="s">
        <v>2660</v>
      </c>
      <c r="L118" s="430" t="s">
        <v>3721</v>
      </c>
      <c r="M118" s="526" t="s">
        <v>514</v>
      </c>
      <c r="N118" s="194" t="s">
        <v>3055</v>
      </c>
      <c r="O118" s="490">
        <v>0</v>
      </c>
      <c r="P118" s="193"/>
      <c r="Q118" s="193"/>
      <c r="R118" s="193"/>
      <c r="S118" s="193"/>
      <c r="T118" s="193"/>
      <c r="U118" s="193"/>
    </row>
    <row r="119" spans="1:21">
      <c r="A119" s="181" t="str">
        <f ca="1">OFFSET(E119,0,$E$3)</f>
        <v>Approved</v>
      </c>
      <c r="B119" s="181" t="s">
        <v>3501</v>
      </c>
      <c r="C119" s="181">
        <v>5</v>
      </c>
      <c r="D119" s="181" t="s">
        <v>1069</v>
      </c>
      <c r="F119" s="91" t="s">
        <v>3442</v>
      </c>
      <c r="G119" s="91" t="s">
        <v>94</v>
      </c>
      <c r="H119" s="91" t="s">
        <v>134</v>
      </c>
      <c r="I119" s="91" t="s">
        <v>874</v>
      </c>
      <c r="J119" s="91" t="s">
        <v>3464</v>
      </c>
      <c r="K119" s="91" t="s">
        <v>3001</v>
      </c>
      <c r="L119" s="430" t="s">
        <v>515</v>
      </c>
      <c r="M119" s="526" t="s">
        <v>516</v>
      </c>
      <c r="N119" s="194" t="s">
        <v>682</v>
      </c>
      <c r="O119" s="490">
        <v>0</v>
      </c>
      <c r="P119" s="193"/>
      <c r="Q119" s="193"/>
      <c r="R119" s="193"/>
      <c r="S119" s="193"/>
      <c r="T119" s="193"/>
      <c r="U119" s="193"/>
    </row>
    <row r="120" spans="1:21">
      <c r="A120" s="181"/>
      <c r="B120" s="181"/>
      <c r="C120" s="181"/>
      <c r="D120" s="181"/>
      <c r="G120" s="492"/>
      <c r="H120" s="492"/>
      <c r="I120" s="492"/>
      <c r="J120" s="492"/>
      <c r="K120" s="492"/>
      <c r="P120" s="193"/>
      <c r="Q120" s="193"/>
      <c r="R120" s="193"/>
      <c r="S120" s="193"/>
      <c r="T120" s="193"/>
      <c r="U120" s="193"/>
    </row>
    <row r="121" spans="1:21">
      <c r="A121" s="181" t="str">
        <f t="shared" ref="A121:A132" ca="1" si="5">OFFSET(E121,0,$E$3)</f>
        <v>DETAILED RESULTS</v>
      </c>
      <c r="B121" s="181" t="s">
        <v>3501</v>
      </c>
      <c r="C121" s="181">
        <v>5</v>
      </c>
      <c r="D121" s="181" t="s">
        <v>204</v>
      </c>
      <c r="E121" s="91" t="s">
        <v>2338</v>
      </c>
      <c r="F121" s="91" t="s">
        <v>638</v>
      </c>
      <c r="G121" s="181" t="s">
        <v>1511</v>
      </c>
      <c r="H121" s="91" t="s">
        <v>1780</v>
      </c>
      <c r="I121" s="91" t="s">
        <v>2292</v>
      </c>
      <c r="J121" s="91" t="s">
        <v>2105</v>
      </c>
      <c r="K121" s="91" t="s">
        <v>2811</v>
      </c>
      <c r="L121" s="430" t="s">
        <v>617</v>
      </c>
      <c r="M121" s="526" t="s">
        <v>2299</v>
      </c>
      <c r="N121" s="194" t="s">
        <v>683</v>
      </c>
      <c r="O121" s="490">
        <v>0</v>
      </c>
      <c r="P121" s="193"/>
      <c r="Q121" s="193"/>
      <c r="R121" s="193"/>
      <c r="S121" s="193"/>
      <c r="T121" s="193"/>
      <c r="U121" s="193"/>
    </row>
    <row r="122" spans="1:21">
      <c r="A122" s="181" t="str">
        <f t="shared" ca="1" si="5"/>
        <v>J6 Payload as % of Max Allowed</v>
      </c>
      <c r="B122" s="181" t="s">
        <v>3501</v>
      </c>
      <c r="C122" s="181">
        <v>5</v>
      </c>
      <c r="D122" s="181" t="s">
        <v>205</v>
      </c>
      <c r="F122" s="91" t="str">
        <f>IF(Axis_Count=1,"J5 Payload as % of Max Allowed", "J6 Payload as % of Max Allowed")</f>
        <v>J6 Payload as % of Max Allowed</v>
      </c>
      <c r="G122" s="91" t="str">
        <f>IF(Axis_Count=1,"Pourcentage de la Charge ut. J5 Max autorisée", "Pourcentage de la Charge ut. J6 Max autorisée")</f>
        <v>Pourcentage de la Charge ut. J6 Max autorisée</v>
      </c>
      <c r="H122" s="91" t="str">
        <f>IF(Axis_Count=1,"J5 Traglast in % der max. zulässig", "J6 Traglast in % der max. zulässig")</f>
        <v>J6 Traglast in % der max. zulässig</v>
      </c>
      <c r="I122" s="91" t="str">
        <f>IF(Axis_Count=1,"Carga J5 como %  Max. Permitido", "Carga J6 como %  Max. Permitido")</f>
        <v>Carga J6 como %  Max. Permitido</v>
      </c>
      <c r="J122" s="91" t="str">
        <f>IF(Axis_Count=1,"Carico J5  in % sul massimo ammissibile", "Carico J6  in % sul massimo ammissibile")</f>
        <v>Carico J6  in % sul massimo ammissibile</v>
      </c>
      <c r="K122" s="91" t="str">
        <f>IF(Axis_Count=1,"J5 Draaglast t.o.v. het max. toelaatbare %", "J6 Draaglast t.o.v. het max. toelaatbare %")</f>
        <v>J6 Draaglast t.o.v. het max. toelaatbare %</v>
      </c>
      <c r="L122" s="432" t="str">
        <f>IF(Axis_Count=1,"J5 가반질량(최대 허용치에 대한 %)", "J6 가반질량(최대 허용치에 대한 %)")</f>
        <v>J6 가반질량(최대 허용치에 대한 %)</v>
      </c>
      <c r="M122" s="527" t="str">
        <f>IF(Axis_Count=1,"J5可搬重量(最大许可值的百分比%)", "J6可搬重量(最大许可值的百分比%)")</f>
        <v>J6可搬重量(最大许可值的百分比%)</v>
      </c>
      <c r="N122" s="194" t="str">
        <f>IF(Axis_Count=1,"J5 可搬質量 （最大許容値に対する%）", "J6 可搬質量 （最大許容値に対する%）")</f>
        <v>J6 可搬質量 （最大許容値に対する%）</v>
      </c>
      <c r="O122" s="490">
        <v>0</v>
      </c>
      <c r="P122" s="193"/>
      <c r="Q122" s="193"/>
      <c r="R122" s="193"/>
      <c r="S122" s="193"/>
      <c r="T122" s="193"/>
      <c r="U122" s="193"/>
    </row>
    <row r="123" spans="1:21">
      <c r="A123" s="181" t="str">
        <f t="shared" ca="1" si="5"/>
        <v>Max J6 Payload for current J3 Payload</v>
      </c>
      <c r="B123" s="181" t="s">
        <v>3501</v>
      </c>
      <c r="C123" s="181">
        <v>5</v>
      </c>
      <c r="D123" s="181" t="s">
        <v>827</v>
      </c>
      <c r="F123" s="91" t="str">
        <f>IF(Axis_Count=1,"Max J5 Payload for current J3 Payload", "Max J6 Payload for current J3 Payload")</f>
        <v>Max J6 Payload for current J3 Payload</v>
      </c>
      <c r="G123" s="91" t="str">
        <f>IF(Axis_Count=1,"Charge max J5 pour la charge courante J3", "Charge max J6 pour la charge courante J3")</f>
        <v>Charge max J6 pour la charge courante J3</v>
      </c>
      <c r="H123" s="91" t="str">
        <f>IF(Axis_Count=1,"Max Payload J5 bei gegenw. Payload J3", "Max Payload J6 bei gegenw. Payload J3")</f>
        <v>Max Payload J6 bei gegenw. Payload J3</v>
      </c>
      <c r="I123" s="91" t="str">
        <f>IF(Axis_Count=1,"Max. Payload J5 para Payload actual J3", "Max. Payload J6 para Payload actual J3")</f>
        <v>Max. Payload J6 para Payload actual J3</v>
      </c>
      <c r="J123" s="91" t="str">
        <f>IF(Axis_Count=1,"Carico max J5 correlato a carico J3", "Carico max J6 correlato a carico J3")</f>
        <v>Carico max J6 correlato a carico J3</v>
      </c>
      <c r="K123" s="91" t="str">
        <f>IF(Axis_Count=1,"Max J5 Payload voor actuele J3 Payload", "Max J6 Payload voor actuele J3 Payload")</f>
        <v>Max J6 Payload voor actuele J3 Payload</v>
      </c>
      <c r="L123" s="432" t="str">
        <f>IF(Axis_Count=1,"현재의 J3암 질량에 대한 J5 최대 가반질량", "현재의 J3암 질량에 대한 J6 최대 가반질량")</f>
        <v>현재의 J3암 질량에 대한 J6 최대 가반질량</v>
      </c>
      <c r="M123" s="527" t="str">
        <f>IF(Axis_Count=1,"相对于当前J3手臂重量的J5最大可搬重量", "相对于当前J3手臂重量的J6最大可搬重量")</f>
        <v>相对于当前J3手臂重量的J6最大可搬重量</v>
      </c>
      <c r="N123" s="194" t="str">
        <f>IF(Axis_Count=1,"現在のJ3アーム質量に対する最大J5可搬質量", "現在のJ3アーム質量に対する最大J6可搬質量")</f>
        <v>現在のJ3アーム質量に対する最大J6可搬質量</v>
      </c>
      <c r="O123" s="490">
        <v>0</v>
      </c>
      <c r="P123" s="193"/>
      <c r="Q123" s="193"/>
      <c r="R123" s="193"/>
      <c r="S123" s="193"/>
      <c r="T123" s="193"/>
      <c r="U123" s="193"/>
    </row>
    <row r="124" spans="1:21">
      <c r="A124" s="181" t="str">
        <f t="shared" ca="1" si="5"/>
        <v xml:space="preserve">Moment as % of Max Allowed </v>
      </c>
      <c r="B124" s="181" t="s">
        <v>3501</v>
      </c>
      <c r="C124" s="181">
        <v>5</v>
      </c>
      <c r="D124" s="181" t="s">
        <v>3510</v>
      </c>
      <c r="F124" s="91" t="s">
        <v>2809</v>
      </c>
      <c r="G124" s="91" t="s">
        <v>2820</v>
      </c>
      <c r="H124" s="91" t="s">
        <v>447</v>
      </c>
      <c r="I124" s="91" t="s">
        <v>1269</v>
      </c>
      <c r="J124" s="91" t="s">
        <v>1229</v>
      </c>
      <c r="K124" s="91" t="s">
        <v>2079</v>
      </c>
      <c r="L124" s="430" t="s">
        <v>479</v>
      </c>
      <c r="M124" s="526" t="s">
        <v>517</v>
      </c>
      <c r="N124" s="194" t="s">
        <v>156</v>
      </c>
      <c r="O124" s="490">
        <v>0</v>
      </c>
      <c r="P124" s="193"/>
      <c r="Q124" s="193"/>
      <c r="R124" s="193"/>
      <c r="S124" s="193"/>
      <c r="T124" s="193"/>
      <c r="U124" s="193"/>
    </row>
    <row r="125" spans="1:21">
      <c r="A125" s="181" t="str">
        <f t="shared" ca="1" si="5"/>
        <v>Axis 4</v>
      </c>
      <c r="B125" s="181" t="s">
        <v>3501</v>
      </c>
      <c r="C125" s="181">
        <v>5</v>
      </c>
      <c r="D125" s="181" t="s">
        <v>206</v>
      </c>
      <c r="F125" s="91" t="s">
        <v>490</v>
      </c>
      <c r="G125" s="91" t="s">
        <v>2821</v>
      </c>
      <c r="H125" s="91" t="s">
        <v>991</v>
      </c>
      <c r="I125" s="91" t="s">
        <v>1270</v>
      </c>
      <c r="J125" s="91" t="s">
        <v>1230</v>
      </c>
      <c r="K125" s="91" t="s">
        <v>2080</v>
      </c>
      <c r="L125" s="430" t="s">
        <v>518</v>
      </c>
      <c r="M125" s="526" t="s">
        <v>519</v>
      </c>
      <c r="N125" s="194" t="s">
        <v>2704</v>
      </c>
      <c r="O125" s="490">
        <v>0</v>
      </c>
      <c r="P125" s="193"/>
      <c r="Q125" s="193"/>
      <c r="R125" s="193"/>
      <c r="S125" s="193"/>
      <c r="T125" s="193"/>
      <c r="U125" s="193"/>
    </row>
    <row r="126" spans="1:21">
      <c r="A126" s="181" t="str">
        <f t="shared" ca="1" si="5"/>
        <v>Axis 5</v>
      </c>
      <c r="B126" s="181" t="s">
        <v>3501</v>
      </c>
      <c r="C126" s="181">
        <v>5</v>
      </c>
      <c r="D126" s="181" t="s">
        <v>207</v>
      </c>
      <c r="F126" s="91" t="s">
        <v>491</v>
      </c>
      <c r="G126" s="91" t="s">
        <v>2822</v>
      </c>
      <c r="H126" s="91" t="s">
        <v>1963</v>
      </c>
      <c r="I126" s="91" t="s">
        <v>1798</v>
      </c>
      <c r="J126" s="91" t="s">
        <v>1778</v>
      </c>
      <c r="K126" s="91" t="s">
        <v>1227</v>
      </c>
      <c r="L126" s="430" t="s">
        <v>893</v>
      </c>
      <c r="M126" s="526" t="s">
        <v>894</v>
      </c>
      <c r="N126" s="194" t="s">
        <v>724</v>
      </c>
      <c r="O126" s="490">
        <v>0</v>
      </c>
      <c r="P126" s="193"/>
      <c r="Q126" s="193"/>
      <c r="R126" s="193"/>
      <c r="S126" s="193"/>
      <c r="T126" s="193"/>
      <c r="U126" s="193"/>
    </row>
    <row r="127" spans="1:21">
      <c r="A127" s="181" t="str">
        <f t="shared" ca="1" si="5"/>
        <v>Axis 6</v>
      </c>
      <c r="B127" s="181" t="s">
        <v>3501</v>
      </c>
      <c r="C127" s="181">
        <v>5</v>
      </c>
      <c r="D127" s="181" t="s">
        <v>1469</v>
      </c>
      <c r="F127" s="91" t="s">
        <v>492</v>
      </c>
      <c r="G127" s="91" t="s">
        <v>3208</v>
      </c>
      <c r="H127" s="91" t="s">
        <v>1964</v>
      </c>
      <c r="I127" s="91" t="s">
        <v>1799</v>
      </c>
      <c r="J127" s="91" t="s">
        <v>1779</v>
      </c>
      <c r="K127" s="91" t="s">
        <v>1228</v>
      </c>
      <c r="L127" s="430" t="s">
        <v>895</v>
      </c>
      <c r="M127" s="526" t="s">
        <v>896</v>
      </c>
      <c r="N127" s="194" t="s">
        <v>2705</v>
      </c>
      <c r="O127" s="490">
        <v>0</v>
      </c>
      <c r="P127" s="193"/>
      <c r="Q127" s="193"/>
      <c r="R127" s="193"/>
      <c r="S127" s="193"/>
      <c r="T127" s="193"/>
      <c r="U127" s="193"/>
    </row>
    <row r="128" spans="1:21">
      <c r="A128" s="181" t="str">
        <f t="shared" ca="1" si="5"/>
        <v xml:space="preserve">Inertia as % of Normal Max Allowed </v>
      </c>
      <c r="B128" s="181" t="s">
        <v>3501</v>
      </c>
      <c r="C128" s="181">
        <v>5</v>
      </c>
      <c r="D128" s="181" t="s">
        <v>1470</v>
      </c>
      <c r="F128" s="91" t="s">
        <v>869</v>
      </c>
      <c r="G128" s="91" t="s">
        <v>844</v>
      </c>
      <c r="H128" s="91" t="s">
        <v>1039</v>
      </c>
      <c r="I128" s="91" t="s">
        <v>2127</v>
      </c>
      <c r="J128" s="91" t="s">
        <v>2855</v>
      </c>
      <c r="K128" s="91" t="s">
        <v>1177</v>
      </c>
      <c r="L128" s="430" t="s">
        <v>1001</v>
      </c>
      <c r="M128" s="526" t="s">
        <v>1002</v>
      </c>
      <c r="N128" s="194" t="s">
        <v>1286</v>
      </c>
      <c r="O128" s="490">
        <v>0</v>
      </c>
      <c r="P128" s="193"/>
      <c r="Q128" s="193"/>
      <c r="R128" s="193"/>
      <c r="S128" s="193"/>
      <c r="T128" s="193"/>
      <c r="U128" s="193"/>
    </row>
    <row r="129" spans="1:21">
      <c r="A129" s="181" t="str">
        <f t="shared" ca="1" si="5"/>
        <v>Axis 4</v>
      </c>
      <c r="B129" s="181" t="s">
        <v>3501</v>
      </c>
      <c r="C129" s="181">
        <v>5</v>
      </c>
      <c r="D129" s="181" t="s">
        <v>208</v>
      </c>
      <c r="F129" s="91" t="s">
        <v>490</v>
      </c>
      <c r="G129" s="91" t="s">
        <v>2821</v>
      </c>
      <c r="H129" s="91" t="s">
        <v>991</v>
      </c>
      <c r="I129" s="91" t="s">
        <v>1270</v>
      </c>
      <c r="J129" s="91" t="s">
        <v>1230</v>
      </c>
      <c r="K129" s="91" t="s">
        <v>2080</v>
      </c>
      <c r="L129" s="430" t="s">
        <v>1003</v>
      </c>
      <c r="M129" s="526" t="s">
        <v>1088</v>
      </c>
      <c r="N129" s="194" t="s">
        <v>2704</v>
      </c>
      <c r="O129" s="490">
        <v>0</v>
      </c>
      <c r="P129" s="193"/>
      <c r="Q129" s="193"/>
      <c r="R129" s="193"/>
      <c r="S129" s="193"/>
      <c r="T129" s="193"/>
      <c r="U129" s="193"/>
    </row>
    <row r="130" spans="1:21">
      <c r="A130" s="181" t="str">
        <f t="shared" ca="1" si="5"/>
        <v>Axis 5</v>
      </c>
      <c r="B130" s="181" t="s">
        <v>3501</v>
      </c>
      <c r="C130" s="181">
        <v>5</v>
      </c>
      <c r="D130" s="181" t="s">
        <v>209</v>
      </c>
      <c r="F130" s="91" t="s">
        <v>491</v>
      </c>
      <c r="G130" s="91" t="s">
        <v>2822</v>
      </c>
      <c r="H130" s="91" t="s">
        <v>1963</v>
      </c>
      <c r="I130" s="91" t="s">
        <v>1798</v>
      </c>
      <c r="J130" s="91" t="s">
        <v>1778</v>
      </c>
      <c r="K130" s="91" t="s">
        <v>1227</v>
      </c>
      <c r="L130" s="430" t="s">
        <v>1089</v>
      </c>
      <c r="M130" s="526" t="s">
        <v>2196</v>
      </c>
      <c r="N130" s="194" t="s">
        <v>724</v>
      </c>
      <c r="O130" s="490">
        <v>0</v>
      </c>
      <c r="P130" s="193"/>
      <c r="Q130" s="193"/>
      <c r="R130" s="193"/>
      <c r="S130" s="193"/>
      <c r="T130" s="193"/>
      <c r="U130" s="193"/>
    </row>
    <row r="131" spans="1:21">
      <c r="A131" s="181" t="str">
        <f t="shared" ca="1" si="5"/>
        <v>Axis 6</v>
      </c>
      <c r="B131" s="181" t="s">
        <v>3501</v>
      </c>
      <c r="C131" s="181">
        <v>5</v>
      </c>
      <c r="D131" s="181" t="s">
        <v>136</v>
      </c>
      <c r="F131" s="91" t="s">
        <v>492</v>
      </c>
      <c r="G131" s="91" t="s">
        <v>3208</v>
      </c>
      <c r="H131" s="91" t="s">
        <v>1964</v>
      </c>
      <c r="I131" s="91" t="s">
        <v>1799</v>
      </c>
      <c r="J131" s="91" t="s">
        <v>1779</v>
      </c>
      <c r="K131" s="91" t="s">
        <v>1228</v>
      </c>
      <c r="L131" s="430" t="s">
        <v>2197</v>
      </c>
      <c r="M131" s="526" t="s">
        <v>2198</v>
      </c>
      <c r="N131" s="194" t="s">
        <v>2705</v>
      </c>
      <c r="O131" s="490">
        <v>0</v>
      </c>
      <c r="P131" s="193"/>
      <c r="Q131" s="193"/>
      <c r="R131" s="193"/>
      <c r="S131" s="193"/>
      <c r="T131" s="193"/>
      <c r="U131" s="193"/>
    </row>
    <row r="132" spans="1:21">
      <c r="A132" s="181" t="str">
        <f t="shared" ca="1" si="5"/>
        <v xml:space="preserve">Note: Warn % </v>
      </c>
      <c r="B132" s="181" t="s">
        <v>3501</v>
      </c>
      <c r="C132" s="181">
        <v>5</v>
      </c>
      <c r="D132" s="181" t="s">
        <v>210</v>
      </c>
      <c r="F132" s="91" t="s">
        <v>1522</v>
      </c>
      <c r="G132" s="91" t="s">
        <v>1522</v>
      </c>
      <c r="H132" s="91" t="s">
        <v>501</v>
      </c>
      <c r="I132" s="91" t="s">
        <v>2128</v>
      </c>
      <c r="J132" s="91" t="s">
        <v>2128</v>
      </c>
      <c r="K132" s="91" t="s">
        <v>1347</v>
      </c>
      <c r="L132" s="430" t="s">
        <v>744</v>
      </c>
      <c r="M132" s="526" t="s">
        <v>92</v>
      </c>
      <c r="N132" s="194" t="s">
        <v>1287</v>
      </c>
      <c r="O132" s="490">
        <v>0</v>
      </c>
      <c r="P132" s="193"/>
      <c r="Q132" s="193"/>
      <c r="R132" s="193"/>
      <c r="S132" s="193"/>
      <c r="T132" s="193"/>
      <c r="U132" s="193"/>
    </row>
    <row r="133" spans="1:21">
      <c r="A133" s="181"/>
      <c r="B133" s="181"/>
      <c r="C133" s="181"/>
      <c r="D133" s="386"/>
      <c r="P133" s="193"/>
      <c r="Q133" s="193"/>
      <c r="R133" s="193"/>
      <c r="S133" s="193"/>
      <c r="T133" s="193"/>
      <c r="U133" s="193"/>
    </row>
    <row r="134" spans="1:21" ht="78">
      <c r="A134" s="181" t="str">
        <f t="shared" ref="A134:A139" ca="1" si="6">OFFSET(E134,0,$E$3)</f>
        <v>Currently Selected Robot Type. Use the Payload Menu or Toolbar to select the required type</v>
      </c>
      <c r="B134" s="91" t="s">
        <v>1117</v>
      </c>
      <c r="C134" s="91">
        <v>5</v>
      </c>
      <c r="D134" s="91" t="s">
        <v>2937</v>
      </c>
      <c r="E134" s="182" t="s">
        <v>413</v>
      </c>
      <c r="F134" s="182" t="s">
        <v>2054</v>
      </c>
      <c r="G134" s="182" t="s">
        <v>812</v>
      </c>
      <c r="H134" s="182" t="s">
        <v>1878</v>
      </c>
      <c r="I134" s="182" t="s">
        <v>2326</v>
      </c>
      <c r="J134" s="91" t="s">
        <v>524</v>
      </c>
      <c r="K134" s="182" t="s">
        <v>2717</v>
      </c>
      <c r="L134" s="501" t="s">
        <v>2054</v>
      </c>
      <c r="M134" s="526" t="s">
        <v>1486</v>
      </c>
      <c r="N134" s="195" t="s">
        <v>1960</v>
      </c>
      <c r="O134" s="490">
        <v>0</v>
      </c>
      <c r="P134" s="193"/>
      <c r="Q134" s="193"/>
      <c r="R134" s="193"/>
      <c r="S134" s="193"/>
      <c r="T134" s="193"/>
      <c r="U134" s="193"/>
    </row>
    <row r="135" spans="1:21" ht="52.5">
      <c r="A135" s="181" t="str">
        <f t="shared" ca="1" si="6"/>
        <v>Type of Payload Input: See Sheet "Instructions" for Details. Use the Payload Menu or Toolbar to select the required type</v>
      </c>
      <c r="B135" s="91" t="s">
        <v>1117</v>
      </c>
      <c r="C135" s="91">
        <v>5</v>
      </c>
      <c r="D135" s="91" t="s">
        <v>2083</v>
      </c>
      <c r="F135" s="182" t="s">
        <v>2288</v>
      </c>
      <c r="G135" s="182" t="s">
        <v>528</v>
      </c>
      <c r="H135" s="182" t="s">
        <v>1992</v>
      </c>
      <c r="I135" s="182" t="s">
        <v>1371</v>
      </c>
      <c r="J135" s="91" t="s">
        <v>2499</v>
      </c>
      <c r="K135" s="182" t="s">
        <v>286</v>
      </c>
      <c r="L135" s="501" t="s">
        <v>2015</v>
      </c>
      <c r="M135" s="526" t="s">
        <v>1487</v>
      </c>
      <c r="N135" s="195" t="s">
        <v>1077</v>
      </c>
      <c r="O135" s="490">
        <v>0</v>
      </c>
      <c r="P135" s="193"/>
      <c r="Q135" s="193"/>
      <c r="R135" s="193"/>
      <c r="S135" s="193"/>
      <c r="T135" s="193"/>
      <c r="U135" s="193"/>
    </row>
    <row r="136" spans="1:21" ht="27">
      <c r="A136" s="181" t="str">
        <f t="shared" ca="1" si="6"/>
        <v>Number to Save / Load the robot data on the Summary Sheet</v>
      </c>
      <c r="B136" s="91" t="s">
        <v>1117</v>
      </c>
      <c r="C136" s="91">
        <v>5</v>
      </c>
      <c r="D136" s="91" t="s">
        <v>2084</v>
      </c>
      <c r="F136" s="182" t="s">
        <v>1883</v>
      </c>
      <c r="G136" s="182" t="s">
        <v>2634</v>
      </c>
      <c r="H136" s="182" t="s">
        <v>3745</v>
      </c>
      <c r="I136" s="182" t="s">
        <v>308</v>
      </c>
      <c r="J136" s="91" t="s">
        <v>525</v>
      </c>
      <c r="K136" s="182" t="s">
        <v>1657</v>
      </c>
      <c r="L136" s="501" t="s">
        <v>1883</v>
      </c>
      <c r="M136" s="526" t="s">
        <v>1453</v>
      </c>
      <c r="N136" s="195" t="s">
        <v>3115</v>
      </c>
      <c r="O136" s="490">
        <v>0</v>
      </c>
      <c r="P136" s="193"/>
      <c r="Q136" s="193"/>
      <c r="R136" s="193"/>
      <c r="S136" s="193"/>
      <c r="T136" s="193"/>
      <c r="U136" s="193"/>
    </row>
    <row r="137" spans="1:21" ht="30">
      <c r="A137" s="181" t="str">
        <f t="shared" ca="1" si="6"/>
        <v>Offset between J5 Axis and faceplate. See Sheet "Instructions" for Details</v>
      </c>
      <c r="B137" s="91" t="s">
        <v>1117</v>
      </c>
      <c r="C137" s="91">
        <v>5</v>
      </c>
      <c r="D137" s="91" t="s">
        <v>3353</v>
      </c>
      <c r="F137" s="182" t="s">
        <v>2234</v>
      </c>
      <c r="G137" s="182" t="s">
        <v>725</v>
      </c>
      <c r="H137" s="182" t="s">
        <v>1786</v>
      </c>
      <c r="I137" s="182" t="s">
        <v>1670</v>
      </c>
      <c r="J137" s="91" t="s">
        <v>1669</v>
      </c>
      <c r="K137" s="182" t="s">
        <v>2950</v>
      </c>
      <c r="L137" s="501" t="s">
        <v>2234</v>
      </c>
      <c r="M137" s="526" t="s">
        <v>1488</v>
      </c>
      <c r="N137" s="195" t="s">
        <v>3601</v>
      </c>
      <c r="O137" s="490">
        <v>0</v>
      </c>
      <c r="P137" s="193"/>
      <c r="Q137" s="193"/>
      <c r="R137" s="193"/>
      <c r="S137" s="193"/>
      <c r="T137" s="193"/>
      <c r="U137" s="193"/>
    </row>
    <row r="138" spans="1:21">
      <c r="A138" s="181" t="str">
        <f t="shared" ca="1" si="6"/>
        <v>Published Specification Data</v>
      </c>
      <c r="B138" s="91" t="s">
        <v>1117</v>
      </c>
      <c r="C138" s="91">
        <v>5</v>
      </c>
      <c r="D138" s="91" t="s">
        <v>1417</v>
      </c>
      <c r="F138" s="182" t="s">
        <v>445</v>
      </c>
      <c r="G138" s="182" t="s">
        <v>1532</v>
      </c>
      <c r="H138" s="182" t="s">
        <v>3088</v>
      </c>
      <c r="I138" s="182" t="s">
        <v>2562</v>
      </c>
      <c r="J138" s="91" t="s">
        <v>1115</v>
      </c>
      <c r="K138" s="91" t="s">
        <v>448</v>
      </c>
      <c r="L138" s="501" t="s">
        <v>445</v>
      </c>
      <c r="M138" s="526" t="s">
        <v>1489</v>
      </c>
      <c r="N138" s="195" t="s">
        <v>3602</v>
      </c>
      <c r="O138" s="490">
        <v>0</v>
      </c>
      <c r="P138" s="193"/>
      <c r="Q138" s="193"/>
      <c r="R138" s="193"/>
      <c r="S138" s="193"/>
      <c r="T138" s="193"/>
      <c r="U138" s="193"/>
    </row>
    <row r="139" spans="1:21">
      <c r="A139" s="181" t="str">
        <f t="shared" ca="1" si="6"/>
        <v>Calculated or Converted Axis Data</v>
      </c>
      <c r="B139" s="91" t="s">
        <v>1117</v>
      </c>
      <c r="C139" s="91">
        <v>5</v>
      </c>
      <c r="D139" s="91" t="s">
        <v>1418</v>
      </c>
      <c r="F139" s="182" t="s">
        <v>3738</v>
      </c>
      <c r="G139" s="182" t="s">
        <v>2947</v>
      </c>
      <c r="H139" s="182" t="s">
        <v>440</v>
      </c>
      <c r="I139" s="182" t="s">
        <v>2968</v>
      </c>
      <c r="J139" s="91" t="s">
        <v>103</v>
      </c>
      <c r="K139" s="91" t="s">
        <v>3265</v>
      </c>
      <c r="L139" s="501" t="s">
        <v>3738</v>
      </c>
      <c r="M139" s="526" t="s">
        <v>1490</v>
      </c>
      <c r="N139" s="195" t="s">
        <v>3603</v>
      </c>
      <c r="O139" s="490">
        <v>0</v>
      </c>
      <c r="P139" s="193"/>
      <c r="Q139" s="193"/>
      <c r="R139" s="193"/>
      <c r="S139" s="193"/>
      <c r="T139" s="193"/>
      <c r="U139" s="193"/>
    </row>
    <row r="140" spans="1:21">
      <c r="A140" s="181"/>
      <c r="D140" s="385"/>
      <c r="F140" s="182"/>
      <c r="G140" s="182"/>
      <c r="H140" s="182"/>
      <c r="I140" s="182"/>
      <c r="L140" s="501"/>
      <c r="N140" s="195"/>
      <c r="P140" s="193"/>
      <c r="Q140" s="193"/>
      <c r="R140" s="193"/>
      <c r="S140" s="193"/>
      <c r="T140" s="193"/>
      <c r="U140" s="193"/>
    </row>
    <row r="141" spans="1:21">
      <c r="A141" s="181" t="str">
        <f ca="1">OFFSET(E141,0,$E$3)</f>
        <v>eg: E32545</v>
      </c>
      <c r="B141" s="91" t="s">
        <v>1117</v>
      </c>
      <c r="C141" s="91">
        <v>5</v>
      </c>
      <c r="D141" s="91" t="s">
        <v>2089</v>
      </c>
      <c r="F141" s="182" t="s">
        <v>1951</v>
      </c>
      <c r="G141" s="182" t="s">
        <v>2948</v>
      </c>
      <c r="H141" s="182" t="s">
        <v>867</v>
      </c>
      <c r="I141" s="182" t="s">
        <v>2969</v>
      </c>
      <c r="J141" s="91" t="s">
        <v>104</v>
      </c>
      <c r="K141" s="91" t="s">
        <v>1113</v>
      </c>
      <c r="L141" s="501" t="s">
        <v>1951</v>
      </c>
      <c r="M141" s="526" t="s">
        <v>3181</v>
      </c>
      <c r="N141" s="195" t="s">
        <v>3708</v>
      </c>
      <c r="O141" s="490">
        <v>0</v>
      </c>
      <c r="P141" s="193"/>
      <c r="Q141" s="193"/>
      <c r="R141" s="193"/>
      <c r="S141" s="193"/>
      <c r="T141" s="193"/>
      <c r="U141" s="193"/>
    </row>
    <row r="142" spans="1:21">
      <c r="A142" s="181" t="str">
        <f ca="1">OFFSET(E142,0,$E$3)</f>
        <v>eg: Stn 10.1</v>
      </c>
      <c r="B142" s="91" t="s">
        <v>1117</v>
      </c>
      <c r="C142" s="91">
        <v>5</v>
      </c>
      <c r="D142" s="91" t="s">
        <v>2085</v>
      </c>
      <c r="F142" s="182" t="s">
        <v>276</v>
      </c>
      <c r="G142" s="182" t="s">
        <v>1213</v>
      </c>
      <c r="H142" s="182" t="s">
        <v>868</v>
      </c>
      <c r="I142" s="182" t="s">
        <v>1818</v>
      </c>
      <c r="J142" s="91" t="s">
        <v>688</v>
      </c>
      <c r="K142" s="91" t="s">
        <v>1114</v>
      </c>
      <c r="L142" s="501" t="s">
        <v>276</v>
      </c>
      <c r="M142" s="526" t="s">
        <v>3073</v>
      </c>
      <c r="N142" s="195" t="s">
        <v>1919</v>
      </c>
      <c r="O142" s="490">
        <v>0</v>
      </c>
      <c r="P142" s="193"/>
      <c r="Q142" s="193"/>
      <c r="R142" s="193"/>
      <c r="S142" s="193"/>
      <c r="T142" s="193"/>
      <c r="U142" s="193"/>
    </row>
    <row r="143" spans="1:21">
      <c r="A143" s="181" t="str">
        <f ca="1">OFFSET(E143,0,$E$3)</f>
        <v>eg: A.N.Engineer</v>
      </c>
      <c r="B143" s="91" t="s">
        <v>1117</v>
      </c>
      <c r="C143" s="91">
        <v>5</v>
      </c>
      <c r="D143" s="91" t="s">
        <v>1526</v>
      </c>
      <c r="F143" s="182" t="s">
        <v>834</v>
      </c>
      <c r="G143" s="182" t="s">
        <v>2311</v>
      </c>
      <c r="H143" s="182" t="s">
        <v>974</v>
      </c>
      <c r="I143" s="182" t="s">
        <v>414</v>
      </c>
      <c r="J143" s="91" t="s">
        <v>2966</v>
      </c>
      <c r="K143" s="91" t="s">
        <v>2941</v>
      </c>
      <c r="L143" s="501" t="s">
        <v>834</v>
      </c>
      <c r="M143" s="526" t="s">
        <v>3232</v>
      </c>
      <c r="N143" s="195" t="s">
        <v>3536</v>
      </c>
      <c r="O143" s="490">
        <v>0</v>
      </c>
      <c r="P143" s="193"/>
      <c r="Q143" s="193"/>
      <c r="R143" s="193"/>
      <c r="S143" s="193"/>
      <c r="T143" s="193"/>
      <c r="U143" s="193"/>
    </row>
    <row r="144" spans="1:21">
      <c r="A144" s="181" t="str">
        <f ca="1">OFFSET(E144,0,$E$3)</f>
        <v>eg: Gripper With Part</v>
      </c>
      <c r="B144" s="91" t="s">
        <v>1117</v>
      </c>
      <c r="C144" s="91">
        <v>5</v>
      </c>
      <c r="D144" s="91" t="s">
        <v>1527</v>
      </c>
      <c r="F144" s="182" t="s">
        <v>35</v>
      </c>
      <c r="G144" s="182" t="s">
        <v>2199</v>
      </c>
      <c r="H144" s="182" t="s">
        <v>1350</v>
      </c>
      <c r="I144" s="182" t="s">
        <v>1785</v>
      </c>
      <c r="J144" s="91" t="s">
        <v>2967</v>
      </c>
      <c r="K144" s="91" t="s">
        <v>222</v>
      </c>
      <c r="L144" s="501" t="s">
        <v>35</v>
      </c>
      <c r="M144" s="526" t="s">
        <v>3074</v>
      </c>
      <c r="N144" s="195" t="s">
        <v>1972</v>
      </c>
      <c r="O144" s="490">
        <v>0</v>
      </c>
      <c r="P144" s="193"/>
      <c r="Q144" s="193"/>
      <c r="R144" s="193"/>
      <c r="S144" s="193"/>
      <c r="T144" s="193"/>
      <c r="U144" s="193"/>
    </row>
    <row r="145" spans="1:21" ht="30">
      <c r="A145" s="181" t="str">
        <f ca="1">OFFSET(E145,0,$E$3)</f>
        <v>Refer to the Sheet "Key to Results"
For Details</v>
      </c>
      <c r="B145" s="91" t="s">
        <v>1117</v>
      </c>
      <c r="C145" s="91">
        <v>5</v>
      </c>
      <c r="D145" s="91" t="s">
        <v>1528</v>
      </c>
      <c r="F145" s="182" t="s">
        <v>0</v>
      </c>
      <c r="G145" s="182" t="s">
        <v>2257</v>
      </c>
      <c r="H145" s="182" t="s">
        <v>3755</v>
      </c>
      <c r="I145" s="182" t="s">
        <v>111</v>
      </c>
      <c r="J145" s="91" t="s">
        <v>394</v>
      </c>
      <c r="K145" s="91" t="s">
        <v>2004</v>
      </c>
      <c r="L145" s="501" t="s">
        <v>0</v>
      </c>
      <c r="M145" s="526" t="s">
        <v>1454</v>
      </c>
      <c r="N145" s="195" t="s">
        <v>1973</v>
      </c>
      <c r="O145" s="490">
        <v>0</v>
      </c>
      <c r="P145" s="193"/>
      <c r="Q145" s="193"/>
      <c r="R145" s="193"/>
      <c r="S145" s="193"/>
      <c r="T145" s="193"/>
      <c r="U145" s="193"/>
    </row>
    <row r="146" spans="1:21">
      <c r="P146" s="193"/>
      <c r="Q146" s="193"/>
      <c r="R146" s="193"/>
      <c r="S146" s="193"/>
      <c r="T146" s="193"/>
      <c r="U146" s="193"/>
    </row>
    <row r="147" spans="1:21">
      <c r="A147" s="181" t="str">
        <f t="shared" ref="A147:A153" ca="1" si="7">OFFSET(E147,0,$E$3)</f>
        <v>Diagrams</v>
      </c>
      <c r="B147" s="91" t="s">
        <v>3500</v>
      </c>
      <c r="C147" s="91">
        <v>6</v>
      </c>
      <c r="D147" s="91">
        <v>6</v>
      </c>
      <c r="E147" s="91" t="s">
        <v>1510</v>
      </c>
      <c r="F147" s="91" t="s">
        <v>2203</v>
      </c>
      <c r="G147" s="91" t="s">
        <v>995</v>
      </c>
      <c r="H147" s="91" t="s">
        <v>996</v>
      </c>
      <c r="I147" s="91" t="s">
        <v>2464</v>
      </c>
      <c r="J147" s="91" t="s">
        <v>3621</v>
      </c>
      <c r="K147" s="91" t="s">
        <v>140</v>
      </c>
      <c r="L147" s="430" t="s">
        <v>655</v>
      </c>
      <c r="M147" s="526" t="s">
        <v>2300</v>
      </c>
      <c r="N147" s="194" t="s">
        <v>2376</v>
      </c>
      <c r="O147" s="490">
        <v>0</v>
      </c>
      <c r="P147" s="193"/>
      <c r="Q147" s="193"/>
      <c r="R147" s="193"/>
      <c r="S147" s="193"/>
      <c r="T147" s="193"/>
      <c r="U147" s="193"/>
    </row>
    <row r="148" spans="1:21">
      <c r="A148" s="181" t="str">
        <f t="shared" ca="1" si="7"/>
        <v>Result Diagrams</v>
      </c>
      <c r="B148" s="91" t="s">
        <v>3501</v>
      </c>
      <c r="C148" s="91">
        <v>6</v>
      </c>
      <c r="D148" s="91" t="s">
        <v>3502</v>
      </c>
      <c r="E148" s="91" t="s">
        <v>2090</v>
      </c>
      <c r="F148" s="91" t="s">
        <v>749</v>
      </c>
      <c r="G148" s="91" t="s">
        <v>2819</v>
      </c>
      <c r="H148" s="91" t="s">
        <v>1570</v>
      </c>
      <c r="I148" s="91" t="s">
        <v>1055</v>
      </c>
      <c r="J148" s="91" t="s">
        <v>847</v>
      </c>
      <c r="K148" s="91" t="s">
        <v>141</v>
      </c>
      <c r="L148" s="430" t="s">
        <v>745</v>
      </c>
      <c r="M148" s="526" t="s">
        <v>319</v>
      </c>
      <c r="N148" s="194" t="s">
        <v>2377</v>
      </c>
      <c r="O148" s="490">
        <v>0</v>
      </c>
      <c r="P148" s="193"/>
      <c r="Q148" s="193"/>
      <c r="R148" s="193"/>
      <c r="S148" s="193"/>
      <c r="T148" s="193"/>
      <c r="U148" s="193"/>
    </row>
    <row r="149" spans="1:21">
      <c r="A149" s="181" t="str">
        <f t="shared" ca="1" si="7"/>
        <v>Payload &amp; Axis Data</v>
      </c>
      <c r="B149" s="91" t="s">
        <v>3501</v>
      </c>
      <c r="C149" s="91">
        <v>6</v>
      </c>
      <c r="D149" s="91" t="s">
        <v>1529</v>
      </c>
      <c r="E149" s="91" t="s">
        <v>3399</v>
      </c>
      <c r="F149" s="91" t="s">
        <v>3828</v>
      </c>
      <c r="G149" s="91" t="s">
        <v>2975</v>
      </c>
      <c r="H149" s="91" t="s">
        <v>977</v>
      </c>
      <c r="I149" s="91" t="s">
        <v>1293</v>
      </c>
      <c r="J149" s="91" t="s">
        <v>3550</v>
      </c>
      <c r="K149" s="91" t="s">
        <v>2502</v>
      </c>
      <c r="L149" s="430" t="s">
        <v>1455</v>
      </c>
      <c r="M149" s="526" t="s">
        <v>2973</v>
      </c>
      <c r="N149" s="194" t="s">
        <v>1605</v>
      </c>
      <c r="O149" s="490">
        <v>0</v>
      </c>
      <c r="P149" s="193"/>
      <c r="Q149" s="193"/>
      <c r="R149" s="193"/>
      <c r="S149" s="193"/>
      <c r="T149" s="193"/>
      <c r="U149" s="193"/>
    </row>
    <row r="150" spans="1:21">
      <c r="A150" s="181" t="str">
        <f t="shared" ca="1" si="7"/>
        <v>Load Diagrams</v>
      </c>
      <c r="B150" s="91" t="s">
        <v>3501</v>
      </c>
      <c r="C150" s="91">
        <v>6</v>
      </c>
      <c r="D150" s="91" t="s">
        <v>305</v>
      </c>
      <c r="F150" s="91" t="s">
        <v>297</v>
      </c>
      <c r="G150" s="91" t="s">
        <v>2979</v>
      </c>
      <c r="H150" s="91" t="s">
        <v>1569</v>
      </c>
      <c r="I150" s="91" t="s">
        <v>1911</v>
      </c>
      <c r="J150" s="91" t="s">
        <v>848</v>
      </c>
      <c r="K150" s="91" t="s">
        <v>2503</v>
      </c>
      <c r="L150" s="430" t="s">
        <v>1456</v>
      </c>
      <c r="M150" s="526" t="s">
        <v>2301</v>
      </c>
      <c r="N150" s="194" t="s">
        <v>1443</v>
      </c>
      <c r="O150" s="490">
        <v>0</v>
      </c>
      <c r="P150" s="193"/>
      <c r="Q150" s="193"/>
      <c r="R150" s="193"/>
      <c r="S150" s="193"/>
      <c r="T150" s="193"/>
      <c r="U150" s="193"/>
    </row>
    <row r="151" spans="1:21">
      <c r="A151" s="181" t="str">
        <f t="shared" ca="1" si="7"/>
        <v>Mass</v>
      </c>
      <c r="B151" s="91" t="s">
        <v>3501</v>
      </c>
      <c r="C151" s="91">
        <v>6</v>
      </c>
      <c r="D151" s="91" t="s">
        <v>1658</v>
      </c>
      <c r="F151" s="91" t="s">
        <v>1701</v>
      </c>
      <c r="G151" s="91" t="s">
        <v>1666</v>
      </c>
      <c r="H151" s="91" t="s">
        <v>1666</v>
      </c>
      <c r="I151" s="91" t="s">
        <v>158</v>
      </c>
      <c r="J151" s="91" t="s">
        <v>2329</v>
      </c>
      <c r="K151" s="91" t="s">
        <v>2329</v>
      </c>
      <c r="L151" s="432" t="s">
        <v>1457</v>
      </c>
      <c r="M151" s="526" t="s">
        <v>1161</v>
      </c>
      <c r="N151" s="194" t="s">
        <v>706</v>
      </c>
      <c r="O151" s="490">
        <v>0</v>
      </c>
      <c r="P151" s="193"/>
      <c r="Q151" s="193"/>
      <c r="R151" s="193"/>
      <c r="S151" s="193"/>
      <c r="T151" s="193"/>
      <c r="U151" s="193"/>
    </row>
    <row r="152" spans="1:21">
      <c r="A152" s="181" t="str">
        <f t="shared" ca="1" si="7"/>
        <v>Moment</v>
      </c>
      <c r="B152" s="91" t="s">
        <v>3501</v>
      </c>
      <c r="C152" s="91">
        <v>6</v>
      </c>
      <c r="D152" s="91" t="s">
        <v>2468</v>
      </c>
      <c r="F152" s="91" t="s">
        <v>2158</v>
      </c>
      <c r="G152" s="91" t="s">
        <v>348</v>
      </c>
      <c r="H152" s="91" t="s">
        <v>1109</v>
      </c>
      <c r="I152" s="91" t="s">
        <v>433</v>
      </c>
      <c r="J152" s="91" t="s">
        <v>2465</v>
      </c>
      <c r="K152" s="91" t="s">
        <v>1095</v>
      </c>
      <c r="L152" s="432" t="s">
        <v>2484</v>
      </c>
      <c r="M152" s="526" t="s">
        <v>1330</v>
      </c>
      <c r="N152" s="194" t="s">
        <v>707</v>
      </c>
      <c r="O152" s="490">
        <v>0</v>
      </c>
      <c r="P152" s="193"/>
      <c r="Q152" s="193"/>
      <c r="R152" s="193"/>
      <c r="S152" s="193"/>
      <c r="T152" s="193"/>
      <c r="U152" s="193"/>
    </row>
    <row r="153" spans="1:21">
      <c r="A153" s="181" t="str">
        <f t="shared" ca="1" si="7"/>
        <v>Inertia</v>
      </c>
      <c r="B153" s="91" t="s">
        <v>3501</v>
      </c>
      <c r="C153" s="91">
        <v>6</v>
      </c>
      <c r="D153" s="91" t="s">
        <v>2469</v>
      </c>
      <c r="F153" s="91" t="s">
        <v>641</v>
      </c>
      <c r="G153" s="91" t="s">
        <v>135</v>
      </c>
      <c r="H153" s="91" t="s">
        <v>3559</v>
      </c>
      <c r="I153" s="91" t="s">
        <v>2332</v>
      </c>
      <c r="J153" s="91" t="s">
        <v>161</v>
      </c>
      <c r="K153" s="91" t="s">
        <v>488</v>
      </c>
      <c r="L153" s="432" t="s">
        <v>76</v>
      </c>
      <c r="M153" s="526" t="s">
        <v>1331</v>
      </c>
      <c r="N153" s="194" t="s">
        <v>3055</v>
      </c>
      <c r="O153" s="490">
        <v>0</v>
      </c>
      <c r="P153" s="193"/>
      <c r="Q153" s="193"/>
      <c r="R153" s="193"/>
      <c r="S153" s="193"/>
      <c r="T153" s="193"/>
      <c r="U153" s="193"/>
    </row>
    <row r="154" spans="1:21">
      <c r="A154" s="181"/>
      <c r="P154" s="193"/>
      <c r="Q154" s="193"/>
      <c r="R154" s="193"/>
      <c r="S154" s="193"/>
      <c r="T154" s="193"/>
      <c r="U154" s="193"/>
    </row>
    <row r="155" spans="1:21">
      <c r="A155" s="181" t="str">
        <f ca="1">OFFSET(E155,0,$E$3)</f>
        <v>Summary</v>
      </c>
      <c r="B155" s="181" t="s">
        <v>3500</v>
      </c>
      <c r="C155" s="181">
        <v>8</v>
      </c>
      <c r="D155" s="181">
        <v>8</v>
      </c>
      <c r="E155" s="91" t="s">
        <v>1510</v>
      </c>
      <c r="F155" s="91" t="s">
        <v>2398</v>
      </c>
      <c r="G155" s="91" t="s">
        <v>314</v>
      </c>
      <c r="H155" s="91" t="s">
        <v>3469</v>
      </c>
      <c r="I155" s="91" t="s">
        <v>313</v>
      </c>
      <c r="J155" s="91" t="s">
        <v>2856</v>
      </c>
      <c r="K155" s="91" t="s">
        <v>1375</v>
      </c>
      <c r="L155" s="433" t="s">
        <v>1332</v>
      </c>
      <c r="M155" s="526" t="s">
        <v>1458</v>
      </c>
      <c r="N155" s="194" t="s">
        <v>1019</v>
      </c>
      <c r="O155" s="490">
        <v>0</v>
      </c>
      <c r="P155" s="193"/>
      <c r="Q155" s="193"/>
      <c r="R155" s="193"/>
      <c r="S155" s="193"/>
      <c r="T155" s="193"/>
      <c r="U155" s="193"/>
    </row>
    <row r="156" spans="1:21">
      <c r="A156" s="181" t="str">
        <f ca="1">OFFSET(E156,0,$E$3)</f>
        <v xml:space="preserve">Robot Analysis Summary </v>
      </c>
      <c r="B156" s="181" t="s">
        <v>3501</v>
      </c>
      <c r="C156" s="181">
        <v>8</v>
      </c>
      <c r="D156" s="181" t="s">
        <v>2339</v>
      </c>
      <c r="E156" s="91" t="s">
        <v>2090</v>
      </c>
      <c r="F156" s="91" t="s">
        <v>3520</v>
      </c>
      <c r="G156" s="91" t="s">
        <v>3241</v>
      </c>
      <c r="H156" s="91" t="s">
        <v>1814</v>
      </c>
      <c r="I156" s="91" t="s">
        <v>1394</v>
      </c>
      <c r="J156" s="91" t="s">
        <v>450</v>
      </c>
      <c r="K156" s="91" t="s">
        <v>2747</v>
      </c>
      <c r="L156" s="433" t="s">
        <v>2137</v>
      </c>
      <c r="M156" s="526" t="s">
        <v>1459</v>
      </c>
      <c r="N156" s="194" t="s">
        <v>2658</v>
      </c>
      <c r="O156" s="490">
        <v>0</v>
      </c>
      <c r="P156" s="193"/>
      <c r="Q156" s="193"/>
      <c r="R156" s="193"/>
      <c r="S156" s="193"/>
      <c r="T156" s="193"/>
      <c r="U156" s="193"/>
    </row>
    <row r="157" spans="1:21">
      <c r="A157" s="181" t="str">
        <f ca="1">OFFSET(E157,0,$E$3)</f>
        <v>LineBuilder:</v>
      </c>
      <c r="B157" s="181" t="s">
        <v>3501</v>
      </c>
      <c r="C157" s="181">
        <v>8</v>
      </c>
      <c r="D157" s="181" t="s">
        <v>3519</v>
      </c>
      <c r="E157" s="91" t="s">
        <v>3222</v>
      </c>
      <c r="F157" s="91" t="s">
        <v>3361</v>
      </c>
      <c r="G157" s="91" t="s">
        <v>1678</v>
      </c>
      <c r="H157" s="91" t="s">
        <v>768</v>
      </c>
      <c r="I157" s="91" t="s">
        <v>434</v>
      </c>
      <c r="J157" s="91" t="s">
        <v>520</v>
      </c>
      <c r="K157" s="91" t="s">
        <v>294</v>
      </c>
      <c r="L157" s="433" t="s">
        <v>1333</v>
      </c>
      <c r="M157" s="526" t="s">
        <v>3571</v>
      </c>
      <c r="N157" s="194" t="s">
        <v>2659</v>
      </c>
      <c r="O157" s="490">
        <v>0</v>
      </c>
      <c r="P157" s="193"/>
      <c r="Q157" s="193"/>
      <c r="R157" s="193"/>
      <c r="S157" s="193"/>
      <c r="T157" s="193"/>
      <c r="U157" s="193"/>
    </row>
    <row r="158" spans="1:21">
      <c r="A158" s="181" t="str">
        <f ca="1">OFFSET(E158,0,$E$3)</f>
        <v>Line:</v>
      </c>
      <c r="B158" s="181" t="s">
        <v>3501</v>
      </c>
      <c r="C158" s="181">
        <v>8</v>
      </c>
      <c r="D158" s="181" t="s">
        <v>2454</v>
      </c>
      <c r="F158" s="91" t="s">
        <v>3362</v>
      </c>
      <c r="G158" s="91" t="s">
        <v>3242</v>
      </c>
      <c r="H158" s="91" t="s">
        <v>769</v>
      </c>
      <c r="I158" s="91" t="s">
        <v>435</v>
      </c>
      <c r="J158" s="91" t="s">
        <v>435</v>
      </c>
      <c r="K158" s="91" t="s">
        <v>1491</v>
      </c>
      <c r="L158" s="433" t="s">
        <v>2138</v>
      </c>
      <c r="M158" s="526" t="s">
        <v>3572</v>
      </c>
      <c r="N158" s="194" t="s">
        <v>1560</v>
      </c>
      <c r="O158" s="490">
        <v>0</v>
      </c>
      <c r="P158" s="193"/>
      <c r="Q158" s="193"/>
      <c r="R158" s="193"/>
      <c r="S158" s="193"/>
      <c r="T158" s="193"/>
      <c r="U158" s="193"/>
    </row>
    <row r="159" spans="1:21">
      <c r="A159" s="181" t="str">
        <f ca="1">OFFSET(E159,0,$E$3)</f>
        <v>Engineer:</v>
      </c>
      <c r="B159" s="181" t="s">
        <v>3501</v>
      </c>
      <c r="C159" s="181">
        <v>8</v>
      </c>
      <c r="D159" s="181" t="s">
        <v>2455</v>
      </c>
      <c r="F159" s="91" t="s">
        <v>3363</v>
      </c>
      <c r="G159" s="91" t="s">
        <v>1820</v>
      </c>
      <c r="H159" s="91" t="s">
        <v>1663</v>
      </c>
      <c r="I159" s="91" t="s">
        <v>434</v>
      </c>
      <c r="J159" s="91" t="s">
        <v>521</v>
      </c>
      <c r="K159" s="91" t="s">
        <v>1606</v>
      </c>
      <c r="L159" s="433" t="s">
        <v>2139</v>
      </c>
      <c r="M159" s="526" t="s">
        <v>3573</v>
      </c>
      <c r="N159" s="194" t="s">
        <v>643</v>
      </c>
      <c r="O159" s="490">
        <v>0</v>
      </c>
      <c r="P159" s="193"/>
      <c r="Q159" s="193"/>
      <c r="R159" s="193"/>
      <c r="S159" s="193"/>
      <c r="T159" s="193"/>
      <c r="U159" s="193"/>
    </row>
    <row r="160" spans="1:21">
      <c r="A160" s="181"/>
      <c r="B160" s="181"/>
      <c r="C160" s="181"/>
      <c r="D160" s="181"/>
      <c r="P160" s="193"/>
      <c r="Q160" s="193"/>
      <c r="R160" s="193"/>
      <c r="S160" s="193"/>
      <c r="T160" s="193"/>
      <c r="U160" s="193"/>
    </row>
    <row r="161" spans="1:21">
      <c r="A161" s="181" t="str">
        <f t="shared" ref="A161:A174" ca="1" si="8">OFFSET(E161,0,$E$3)</f>
        <v>SUMMARY RESULTS</v>
      </c>
      <c r="B161" s="181" t="s">
        <v>3501</v>
      </c>
      <c r="C161" s="181">
        <v>8</v>
      </c>
      <c r="D161" s="181" t="s">
        <v>3038</v>
      </c>
      <c r="E161" s="91" t="s">
        <v>3587</v>
      </c>
      <c r="F161" s="91" t="s">
        <v>3830</v>
      </c>
      <c r="G161" s="181" t="s">
        <v>497</v>
      </c>
      <c r="H161" s="91" t="s">
        <v>2805</v>
      </c>
      <c r="I161" s="91" t="s">
        <v>1524</v>
      </c>
      <c r="J161" s="91" t="s">
        <v>1058</v>
      </c>
      <c r="K161" s="91" t="s">
        <v>1705</v>
      </c>
      <c r="L161" s="433" t="s">
        <v>3050</v>
      </c>
      <c r="M161" s="526" t="s">
        <v>1460</v>
      </c>
      <c r="N161" s="194" t="s">
        <v>644</v>
      </c>
      <c r="O161" s="490">
        <v>0</v>
      </c>
      <c r="P161" s="193"/>
      <c r="Q161" s="193"/>
      <c r="R161" s="193"/>
      <c r="S161" s="193"/>
      <c r="T161" s="193"/>
      <c r="U161" s="193"/>
    </row>
    <row r="162" spans="1:21">
      <c r="A162" s="181" t="str">
        <f t="shared" ca="1" si="8"/>
        <v>Robot
E#</v>
      </c>
      <c r="B162" s="181" t="s">
        <v>3501</v>
      </c>
      <c r="C162" s="181">
        <v>8</v>
      </c>
      <c r="D162" s="181" t="s">
        <v>3039</v>
      </c>
      <c r="F162" s="91" t="s">
        <v>3398</v>
      </c>
      <c r="G162" s="91" t="s">
        <v>3398</v>
      </c>
      <c r="H162" s="91" t="s">
        <v>1664</v>
      </c>
      <c r="I162" s="91" t="s">
        <v>3398</v>
      </c>
      <c r="J162" s="91" t="s">
        <v>3198</v>
      </c>
      <c r="K162" s="91" t="s">
        <v>1607</v>
      </c>
      <c r="L162" s="433" t="s">
        <v>3051</v>
      </c>
      <c r="M162" s="526" t="s">
        <v>3574</v>
      </c>
      <c r="N162" s="194" t="s">
        <v>645</v>
      </c>
      <c r="O162" s="490">
        <v>0</v>
      </c>
      <c r="P162" s="193"/>
      <c r="Q162" s="193"/>
      <c r="R162" s="193"/>
      <c r="S162" s="193"/>
      <c r="T162" s="193"/>
      <c r="U162" s="193"/>
    </row>
    <row r="163" spans="1:21">
      <c r="A163" s="181" t="str">
        <f t="shared" ca="1" si="8"/>
        <v>Tool #</v>
      </c>
      <c r="B163" s="181" t="s">
        <v>3501</v>
      </c>
      <c r="C163" s="181">
        <v>8</v>
      </c>
      <c r="D163" s="181" t="s">
        <v>2470</v>
      </c>
      <c r="F163" s="91" t="s">
        <v>60</v>
      </c>
      <c r="G163" s="91" t="s">
        <v>287</v>
      </c>
      <c r="H163" s="91" t="s">
        <v>1475</v>
      </c>
      <c r="I163" s="91" t="s">
        <v>1476</v>
      </c>
      <c r="J163" s="91" t="s">
        <v>3826</v>
      </c>
      <c r="K163" s="91" t="s">
        <v>3827</v>
      </c>
      <c r="L163" s="433" t="s">
        <v>3052</v>
      </c>
      <c r="M163" s="526" t="s">
        <v>3575</v>
      </c>
      <c r="N163" s="194" t="s">
        <v>715</v>
      </c>
      <c r="O163" s="490">
        <v>0</v>
      </c>
      <c r="P163" s="193"/>
      <c r="Q163" s="193"/>
      <c r="R163" s="193"/>
      <c r="S163" s="193"/>
      <c r="T163" s="193"/>
      <c r="U163" s="193"/>
    </row>
    <row r="164" spans="1:21">
      <c r="A164" s="181" t="str">
        <f t="shared" ca="1" si="8"/>
        <v>Station
#</v>
      </c>
      <c r="B164" s="181" t="s">
        <v>3501</v>
      </c>
      <c r="C164" s="181">
        <v>8</v>
      </c>
      <c r="D164" s="181" t="s">
        <v>2471</v>
      </c>
      <c r="F164" s="91" t="s">
        <v>1974</v>
      </c>
      <c r="G164" s="91" t="s">
        <v>1974</v>
      </c>
      <c r="H164" s="91" t="s">
        <v>1974</v>
      </c>
      <c r="I164" s="182" t="s">
        <v>1018</v>
      </c>
      <c r="J164" s="91" t="s">
        <v>3199</v>
      </c>
      <c r="K164" s="91" t="s">
        <v>1608</v>
      </c>
      <c r="L164" s="433" t="s">
        <v>3053</v>
      </c>
      <c r="M164" s="526" t="s">
        <v>1396</v>
      </c>
      <c r="N164" s="195" t="s">
        <v>646</v>
      </c>
      <c r="O164" s="490">
        <v>0</v>
      </c>
      <c r="P164" s="193"/>
      <c r="Q164" s="193"/>
      <c r="R164" s="193"/>
      <c r="S164" s="193"/>
      <c r="T164" s="193"/>
      <c r="U164" s="193"/>
    </row>
    <row r="165" spans="1:21">
      <c r="A165" s="181" t="str">
        <f t="shared" ca="1" si="8"/>
        <v>Robot
Type</v>
      </c>
      <c r="B165" s="181" t="s">
        <v>3501</v>
      </c>
      <c r="C165" s="181">
        <v>8</v>
      </c>
      <c r="D165" s="181" t="s">
        <v>2472</v>
      </c>
      <c r="F165" s="91" t="s">
        <v>2552</v>
      </c>
      <c r="G165" s="91" t="s">
        <v>272</v>
      </c>
      <c r="H165" s="91" t="s">
        <v>1965</v>
      </c>
      <c r="I165" s="91" t="s">
        <v>1525</v>
      </c>
      <c r="J165" s="91" t="s">
        <v>2983</v>
      </c>
      <c r="K165" s="91" t="s">
        <v>3713</v>
      </c>
      <c r="L165" s="433" t="s">
        <v>1595</v>
      </c>
      <c r="M165" s="526" t="s">
        <v>2268</v>
      </c>
      <c r="N165" s="194" t="s">
        <v>647</v>
      </c>
      <c r="O165" s="490">
        <v>0</v>
      </c>
      <c r="P165" s="193"/>
      <c r="Q165" s="193"/>
      <c r="R165" s="193"/>
      <c r="S165" s="193"/>
      <c r="T165" s="193"/>
      <c r="U165" s="193"/>
    </row>
    <row r="166" spans="1:21">
      <c r="A166" s="181" t="str">
        <f t="shared" ca="1" si="8"/>
        <v>Analysis
Type</v>
      </c>
      <c r="B166" s="181" t="s">
        <v>3501</v>
      </c>
      <c r="C166" s="181">
        <v>8</v>
      </c>
      <c r="D166" s="181" t="s">
        <v>3604</v>
      </c>
      <c r="F166" s="91" t="s">
        <v>2040</v>
      </c>
      <c r="G166" s="91" t="s">
        <v>273</v>
      </c>
      <c r="H166" s="182" t="s">
        <v>3236</v>
      </c>
      <c r="I166" s="91" t="s">
        <v>2812</v>
      </c>
      <c r="J166" s="91" t="s">
        <v>3155</v>
      </c>
      <c r="K166" s="91" t="s">
        <v>2328</v>
      </c>
      <c r="L166" s="433" t="s">
        <v>1596</v>
      </c>
      <c r="M166" s="526" t="s">
        <v>1397</v>
      </c>
      <c r="N166" s="194" t="s">
        <v>704</v>
      </c>
      <c r="O166" s="490">
        <v>0</v>
      </c>
      <c r="P166" s="193"/>
      <c r="Q166" s="193"/>
      <c r="R166" s="193"/>
      <c r="S166" s="193"/>
      <c r="T166" s="193"/>
      <c r="U166" s="193"/>
    </row>
    <row r="167" spans="1:21">
      <c r="A167" s="181" t="str">
        <f t="shared" ca="1" si="8"/>
        <v>Engineer</v>
      </c>
      <c r="B167" s="181" t="s">
        <v>3501</v>
      </c>
      <c r="C167" s="181">
        <v>8</v>
      </c>
      <c r="D167" s="181" t="s">
        <v>2473</v>
      </c>
      <c r="F167" s="91" t="s">
        <v>311</v>
      </c>
      <c r="G167" s="91" t="s">
        <v>713</v>
      </c>
      <c r="H167" s="91" t="s">
        <v>1665</v>
      </c>
      <c r="I167" s="91" t="s">
        <v>3623</v>
      </c>
      <c r="J167" s="91" t="s">
        <v>1982</v>
      </c>
      <c r="K167" s="91" t="s">
        <v>1683</v>
      </c>
      <c r="L167" s="433" t="s">
        <v>1597</v>
      </c>
      <c r="M167" s="526" t="s">
        <v>1398</v>
      </c>
      <c r="N167" s="194" t="s">
        <v>705</v>
      </c>
      <c r="O167" s="490">
        <v>0</v>
      </c>
      <c r="P167" s="193"/>
      <c r="Q167" s="193"/>
      <c r="R167" s="193"/>
      <c r="S167" s="193"/>
      <c r="T167" s="193"/>
      <c r="U167" s="193"/>
    </row>
    <row r="168" spans="1:21">
      <c r="A168" s="181" t="str">
        <f t="shared" ca="1" si="8"/>
        <v>Payload (kg)</v>
      </c>
      <c r="B168" s="181" t="s">
        <v>3501</v>
      </c>
      <c r="C168" s="181">
        <v>8</v>
      </c>
      <c r="D168" s="181" t="s">
        <v>2474</v>
      </c>
      <c r="F168" s="91" t="s">
        <v>427</v>
      </c>
      <c r="G168" s="91" t="s">
        <v>778</v>
      </c>
      <c r="H168" s="91" t="s">
        <v>1813</v>
      </c>
      <c r="I168" s="91" t="s">
        <v>2154</v>
      </c>
      <c r="J168" s="91" t="s">
        <v>2017</v>
      </c>
      <c r="K168" s="91" t="s">
        <v>2715</v>
      </c>
      <c r="L168" s="433" t="s">
        <v>3054</v>
      </c>
      <c r="M168" s="526" t="s">
        <v>1387</v>
      </c>
      <c r="N168" s="194" t="s">
        <v>2124</v>
      </c>
      <c r="O168" s="490">
        <v>0</v>
      </c>
      <c r="P168" s="193"/>
      <c r="Q168" s="193"/>
      <c r="R168" s="193"/>
      <c r="S168" s="193"/>
      <c r="T168" s="193"/>
      <c r="U168" s="193"/>
    </row>
    <row r="169" spans="1:21">
      <c r="A169" s="181" t="str">
        <f t="shared" ca="1" si="8"/>
        <v>J3 Arm/J3 Casing Load (kg)</v>
      </c>
      <c r="B169" s="181" t="s">
        <v>3501</v>
      </c>
      <c r="C169" s="181">
        <v>8</v>
      </c>
      <c r="D169" s="181" t="s">
        <v>2475</v>
      </c>
      <c r="F169" s="908" t="s">
        <v>1146</v>
      </c>
      <c r="G169" s="908" t="s">
        <v>1147</v>
      </c>
      <c r="H169" s="908" t="s">
        <v>1148</v>
      </c>
      <c r="I169" s="908" t="s">
        <v>1149</v>
      </c>
      <c r="J169" s="908" t="s">
        <v>1150</v>
      </c>
      <c r="K169" s="908" t="s">
        <v>1151</v>
      </c>
      <c r="L169" s="917" t="s">
        <v>1152</v>
      </c>
      <c r="M169" s="918" t="s">
        <v>1153</v>
      </c>
      <c r="N169" s="377" t="s">
        <v>1154</v>
      </c>
      <c r="O169" s="490">
        <v>0</v>
      </c>
      <c r="P169" s="193"/>
      <c r="Q169" s="193"/>
      <c r="R169" s="193"/>
      <c r="S169" s="193"/>
      <c r="T169" s="193"/>
      <c r="U169" s="193"/>
    </row>
    <row r="170" spans="1:21">
      <c r="A170" s="181" t="str">
        <f t="shared" ca="1" si="8"/>
        <v>Mass</v>
      </c>
      <c r="B170" s="181" t="s">
        <v>3501</v>
      </c>
      <c r="C170" s="181">
        <v>8</v>
      </c>
      <c r="D170" s="181" t="s">
        <v>2476</v>
      </c>
      <c r="F170" s="91" t="s">
        <v>1701</v>
      </c>
      <c r="G170" s="91" t="s">
        <v>1666</v>
      </c>
      <c r="H170" s="91" t="s">
        <v>1666</v>
      </c>
      <c r="I170" s="91" t="s">
        <v>2813</v>
      </c>
      <c r="J170" s="91" t="s">
        <v>2329</v>
      </c>
      <c r="K170" s="91" t="s">
        <v>2329</v>
      </c>
      <c r="L170" s="433" t="s">
        <v>1598</v>
      </c>
      <c r="M170" s="526" t="s">
        <v>1604</v>
      </c>
      <c r="N170" s="194" t="s">
        <v>706</v>
      </c>
      <c r="O170" s="490">
        <v>0</v>
      </c>
      <c r="P170" s="193"/>
      <c r="Q170" s="193"/>
      <c r="R170" s="193"/>
      <c r="S170" s="193"/>
      <c r="T170" s="193"/>
      <c r="U170" s="193"/>
    </row>
    <row r="171" spans="1:21">
      <c r="A171" s="181" t="str">
        <f t="shared" ca="1" si="8"/>
        <v>Moments</v>
      </c>
      <c r="B171" s="181" t="s">
        <v>3501</v>
      </c>
      <c r="C171" s="181">
        <v>8</v>
      </c>
      <c r="D171" s="181" t="s">
        <v>2477</v>
      </c>
      <c r="F171" s="91" t="s">
        <v>348</v>
      </c>
      <c r="G171" s="91" t="s">
        <v>348</v>
      </c>
      <c r="H171" s="91" t="s">
        <v>1109</v>
      </c>
      <c r="I171" s="91" t="s">
        <v>433</v>
      </c>
      <c r="J171" s="91" t="s">
        <v>2465</v>
      </c>
      <c r="K171" s="91" t="s">
        <v>2145</v>
      </c>
      <c r="L171" s="433" t="s">
        <v>256</v>
      </c>
      <c r="M171" s="526" t="s">
        <v>1399</v>
      </c>
      <c r="N171" s="194" t="s">
        <v>707</v>
      </c>
      <c r="O171" s="490">
        <v>0</v>
      </c>
      <c r="P171" s="193"/>
      <c r="Q171" s="193"/>
      <c r="R171" s="193"/>
      <c r="S171" s="193"/>
      <c r="T171" s="193"/>
      <c r="U171" s="193"/>
    </row>
    <row r="172" spans="1:21">
      <c r="A172" s="181" t="str">
        <f t="shared" ca="1" si="8"/>
        <v>Inertias</v>
      </c>
      <c r="B172" s="181" t="s">
        <v>3501</v>
      </c>
      <c r="C172" s="181">
        <v>8</v>
      </c>
      <c r="D172" s="181" t="s">
        <v>2478</v>
      </c>
      <c r="F172" s="91" t="s">
        <v>488</v>
      </c>
      <c r="G172" s="91" t="s">
        <v>135</v>
      </c>
      <c r="H172" s="91" t="s">
        <v>3559</v>
      </c>
      <c r="I172" s="91" t="s">
        <v>2332</v>
      </c>
      <c r="J172" s="91" t="s">
        <v>161</v>
      </c>
      <c r="K172" s="91" t="s">
        <v>2660</v>
      </c>
      <c r="L172" s="433" t="s">
        <v>3721</v>
      </c>
      <c r="M172" s="526" t="s">
        <v>1331</v>
      </c>
      <c r="N172" s="194" t="s">
        <v>3055</v>
      </c>
      <c r="O172" s="490">
        <v>0</v>
      </c>
      <c r="P172" s="193"/>
      <c r="Q172" s="193"/>
      <c r="R172" s="193"/>
      <c r="S172" s="193"/>
      <c r="T172" s="193"/>
      <c r="U172" s="193"/>
    </row>
    <row r="173" spans="1:21">
      <c r="A173" s="181" t="str">
        <f t="shared" ca="1" si="8"/>
        <v>Approved</v>
      </c>
      <c r="B173" s="181" t="s">
        <v>3501</v>
      </c>
      <c r="C173" s="181">
        <v>8</v>
      </c>
      <c r="D173" s="181" t="s">
        <v>2260</v>
      </c>
      <c r="F173" s="91" t="s">
        <v>3442</v>
      </c>
      <c r="G173" s="91" t="s">
        <v>1680</v>
      </c>
      <c r="H173" s="91" t="s">
        <v>134</v>
      </c>
      <c r="I173" s="91" t="s">
        <v>1373</v>
      </c>
      <c r="J173" s="91" t="s">
        <v>2317</v>
      </c>
      <c r="K173" s="91" t="s">
        <v>59</v>
      </c>
      <c r="L173" s="433" t="s">
        <v>257</v>
      </c>
      <c r="M173" s="526" t="s">
        <v>258</v>
      </c>
      <c r="N173" s="194" t="s">
        <v>1173</v>
      </c>
      <c r="O173" s="490">
        <v>0</v>
      </c>
      <c r="P173" s="193"/>
      <c r="Q173" s="193"/>
      <c r="R173" s="193"/>
      <c r="S173" s="193"/>
      <c r="T173" s="193"/>
      <c r="U173" s="193"/>
    </row>
    <row r="174" spans="1:21">
      <c r="A174" s="181" t="str">
        <f t="shared" ca="1" si="8"/>
        <v>COMMENTS</v>
      </c>
      <c r="B174" s="181" t="s">
        <v>3501</v>
      </c>
      <c r="C174" s="181">
        <v>8</v>
      </c>
      <c r="D174" s="181" t="s">
        <v>2771</v>
      </c>
      <c r="F174" s="91" t="s">
        <v>1913</v>
      </c>
      <c r="G174" s="91" t="s">
        <v>500</v>
      </c>
      <c r="H174" s="91" t="s">
        <v>522</v>
      </c>
      <c r="I174" s="91" t="s">
        <v>1374</v>
      </c>
      <c r="J174" s="91" t="s">
        <v>3156</v>
      </c>
      <c r="K174" s="91" t="s">
        <v>527</v>
      </c>
      <c r="L174" s="433" t="s">
        <v>259</v>
      </c>
      <c r="M174" s="526" t="s">
        <v>1400</v>
      </c>
      <c r="N174" s="194" t="s">
        <v>2236</v>
      </c>
      <c r="O174" s="490">
        <v>0</v>
      </c>
      <c r="P174" s="193"/>
      <c r="Q174" s="193"/>
      <c r="R174" s="193"/>
      <c r="S174" s="193"/>
      <c r="T174" s="193"/>
      <c r="U174" s="193"/>
    </row>
    <row r="175" spans="1:21">
      <c r="A175" s="181"/>
      <c r="P175" s="193"/>
      <c r="Q175" s="193"/>
      <c r="R175" s="193"/>
      <c r="S175" s="193"/>
      <c r="T175" s="193"/>
      <c r="U175" s="193"/>
    </row>
    <row r="176" spans="1:21">
      <c r="A176" s="488" t="str">
        <f ca="1">OFFSET(E176,0,$E$3)</f>
        <v>Conversion</v>
      </c>
      <c r="B176" s="488" t="s">
        <v>3501</v>
      </c>
      <c r="C176" s="488">
        <v>9</v>
      </c>
      <c r="D176" s="488" t="s">
        <v>3502</v>
      </c>
      <c r="E176" s="488" t="s">
        <v>2000</v>
      </c>
      <c r="F176" s="488" t="s">
        <v>2</v>
      </c>
      <c r="G176" s="488" t="s">
        <v>2</v>
      </c>
      <c r="H176" s="488" t="s">
        <v>2331</v>
      </c>
      <c r="I176" s="488" t="s">
        <v>1819</v>
      </c>
      <c r="J176" s="488" t="s">
        <v>838</v>
      </c>
      <c r="K176" s="488" t="s">
        <v>3598</v>
      </c>
      <c r="L176" s="489" t="s">
        <v>3637</v>
      </c>
      <c r="M176" s="489" t="s">
        <v>1401</v>
      </c>
      <c r="N176" s="490" t="s">
        <v>1234</v>
      </c>
      <c r="O176" s="490">
        <v>0</v>
      </c>
      <c r="P176" s="193"/>
      <c r="Q176" s="193"/>
      <c r="R176" s="193"/>
      <c r="S176" s="193"/>
      <c r="T176" s="193"/>
      <c r="U176" s="193"/>
    </row>
    <row r="177" spans="1:21">
      <c r="A177" s="488" t="str">
        <f ca="1">OFFSET(E177,0,$E$3)</f>
        <v>CofG Data</v>
      </c>
      <c r="B177" s="488" t="s">
        <v>3501</v>
      </c>
      <c r="C177" s="488">
        <v>9</v>
      </c>
      <c r="D177" s="488" t="s">
        <v>2093</v>
      </c>
      <c r="E177" s="488"/>
      <c r="F177" s="488" t="s">
        <v>61</v>
      </c>
      <c r="G177" s="488" t="s">
        <v>2772</v>
      </c>
      <c r="H177" s="488" t="s">
        <v>2773</v>
      </c>
      <c r="I177" s="488" t="s">
        <v>62</v>
      </c>
      <c r="J177" s="488" t="s">
        <v>2774</v>
      </c>
      <c r="K177" s="488" t="s">
        <v>2775</v>
      </c>
      <c r="L177" s="489" t="s">
        <v>260</v>
      </c>
      <c r="M177" s="489" t="s">
        <v>3253</v>
      </c>
      <c r="N177" s="490" t="s">
        <v>3709</v>
      </c>
      <c r="O177" s="490">
        <v>0</v>
      </c>
      <c r="P177" s="193"/>
      <c r="Q177" s="193"/>
      <c r="R177" s="193"/>
      <c r="S177" s="193"/>
      <c r="T177" s="193"/>
      <c r="U177" s="193"/>
    </row>
    <row r="178" spans="1:21">
      <c r="A178" s="488" t="str">
        <f ca="1">OFFSET(E178,0,$E$3)</f>
        <v>AXIS Data</v>
      </c>
      <c r="B178" s="488" t="s">
        <v>3501</v>
      </c>
      <c r="C178" s="488">
        <v>9</v>
      </c>
      <c r="D178" s="488" t="s">
        <v>3136</v>
      </c>
      <c r="E178" s="488"/>
      <c r="F178" s="488" t="s">
        <v>63</v>
      </c>
      <c r="G178" s="488" t="s">
        <v>64</v>
      </c>
      <c r="H178" s="488" t="s">
        <v>65</v>
      </c>
      <c r="I178" s="488" t="s">
        <v>66</v>
      </c>
      <c r="J178" s="488" t="s">
        <v>67</v>
      </c>
      <c r="K178" s="488" t="s">
        <v>2776</v>
      </c>
      <c r="L178" s="489" t="s">
        <v>3595</v>
      </c>
      <c r="M178" s="489" t="s">
        <v>68</v>
      </c>
      <c r="N178" s="490" t="s">
        <v>3710</v>
      </c>
      <c r="O178" s="490">
        <v>0</v>
      </c>
      <c r="P178" s="193"/>
      <c r="Q178" s="193"/>
      <c r="R178" s="193"/>
      <c r="S178" s="193"/>
      <c r="T178" s="193"/>
      <c r="U178" s="193"/>
    </row>
    <row r="179" spans="1:21">
      <c r="A179" s="488" t="str">
        <f ca="1">OFFSET(E179,0,$E$3)</f>
        <v>FANUC units ⇒ SI units</v>
      </c>
      <c r="B179" s="488" t="s">
        <v>3501</v>
      </c>
      <c r="C179" s="488">
        <v>9</v>
      </c>
      <c r="D179" s="488" t="s">
        <v>2777</v>
      </c>
      <c r="E179" s="488"/>
      <c r="F179" s="491" t="s">
        <v>2953</v>
      </c>
      <c r="G179" s="491" t="s">
        <v>2954</v>
      </c>
      <c r="H179" s="491" t="s">
        <v>285</v>
      </c>
      <c r="I179" s="491" t="s">
        <v>340</v>
      </c>
      <c r="J179" s="491" t="s">
        <v>341</v>
      </c>
      <c r="K179" s="491" t="s">
        <v>342</v>
      </c>
      <c r="L179" s="489" t="s">
        <v>343</v>
      </c>
      <c r="M179" s="489" t="s">
        <v>344</v>
      </c>
      <c r="N179" s="491" t="s">
        <v>3365</v>
      </c>
      <c r="O179" s="490">
        <v>0</v>
      </c>
      <c r="P179" s="193"/>
      <c r="Q179" s="193"/>
      <c r="R179" s="193"/>
      <c r="S179" s="193"/>
      <c r="T179" s="193"/>
      <c r="U179" s="193"/>
    </row>
    <row r="180" spans="1:21">
      <c r="A180" s="488" t="str">
        <f ca="1">OFFSET(E180,0,$E$3)</f>
        <v>SI units ⇒ FANUC units</v>
      </c>
      <c r="B180" s="488" t="s">
        <v>3501</v>
      </c>
      <c r="C180" s="488">
        <v>9</v>
      </c>
      <c r="D180" s="488" t="s">
        <v>263</v>
      </c>
      <c r="E180" s="488"/>
      <c r="F180" s="491" t="s">
        <v>561</v>
      </c>
      <c r="G180" s="491" t="s">
        <v>562</v>
      </c>
      <c r="H180" s="491" t="s">
        <v>563</v>
      </c>
      <c r="I180" s="491" t="s">
        <v>1043</v>
      </c>
      <c r="J180" s="491" t="s">
        <v>1044</v>
      </c>
      <c r="K180" s="491" t="s">
        <v>616</v>
      </c>
      <c r="L180" s="489" t="s">
        <v>1414</v>
      </c>
      <c r="M180" s="489" t="s">
        <v>1415</v>
      </c>
      <c r="N180" s="491" t="s">
        <v>1416</v>
      </c>
      <c r="O180" s="490">
        <v>0</v>
      </c>
      <c r="P180" s="193"/>
      <c r="Q180" s="193"/>
      <c r="R180" s="193"/>
      <c r="S180" s="193"/>
      <c r="T180" s="193"/>
      <c r="U180" s="193"/>
    </row>
    <row r="181" spans="1:21">
      <c r="A181" s="181"/>
      <c r="B181" s="181"/>
      <c r="C181" s="181"/>
      <c r="D181" s="181"/>
      <c r="P181" s="193"/>
      <c r="Q181" s="193"/>
      <c r="R181" s="193"/>
      <c r="S181" s="193"/>
      <c r="T181" s="193"/>
      <c r="U181" s="193"/>
    </row>
    <row r="182" spans="1:21">
      <c r="A182" s="181" t="str">
        <f t="shared" ref="A182:A192" ca="1" si="9">OFFSET(E182,0,$E$3)</f>
        <v>&amp;Payload</v>
      </c>
      <c r="B182" s="181" t="s">
        <v>3501</v>
      </c>
      <c r="C182" s="181">
        <v>13</v>
      </c>
      <c r="D182" s="181" t="s">
        <v>3465</v>
      </c>
      <c r="E182" s="91" t="s">
        <v>971</v>
      </c>
      <c r="F182" s="91" t="s">
        <v>457</v>
      </c>
      <c r="G182" s="91" t="s">
        <v>823</v>
      </c>
      <c r="H182" s="91" t="s">
        <v>2029</v>
      </c>
      <c r="I182" s="91" t="s">
        <v>1009</v>
      </c>
      <c r="J182" s="91" t="s">
        <v>3239</v>
      </c>
      <c r="K182" s="91" t="s">
        <v>1566</v>
      </c>
      <c r="L182" s="432" t="s">
        <v>457</v>
      </c>
      <c r="M182" s="526" t="s">
        <v>2246</v>
      </c>
      <c r="N182" s="194" t="s">
        <v>2702</v>
      </c>
      <c r="O182" s="490">
        <v>0</v>
      </c>
      <c r="P182" s="193"/>
      <c r="Q182" s="193"/>
      <c r="R182" s="193"/>
      <c r="S182" s="193"/>
      <c r="T182" s="193"/>
      <c r="U182" s="193"/>
    </row>
    <row r="183" spans="1:21">
      <c r="A183" s="181" t="str">
        <f t="shared" ca="1" si="9"/>
        <v>&amp;Robot Type</v>
      </c>
      <c r="B183" s="181" t="s">
        <v>3501</v>
      </c>
      <c r="C183" s="181">
        <v>13</v>
      </c>
      <c r="D183" s="181" t="s">
        <v>235</v>
      </c>
      <c r="F183" s="91" t="s">
        <v>1794</v>
      </c>
      <c r="G183" s="91" t="s">
        <v>1010</v>
      </c>
      <c r="H183" s="91" t="s">
        <v>296</v>
      </c>
      <c r="I183" s="91" t="s">
        <v>3551</v>
      </c>
      <c r="J183" s="91" t="s">
        <v>244</v>
      </c>
      <c r="K183" s="91" t="s">
        <v>1794</v>
      </c>
      <c r="L183" s="432" t="s">
        <v>93</v>
      </c>
      <c r="M183" s="526" t="s">
        <v>2247</v>
      </c>
      <c r="N183" s="194" t="s">
        <v>353</v>
      </c>
      <c r="O183" s="490">
        <v>0</v>
      </c>
      <c r="P183" s="193"/>
      <c r="Q183" s="193"/>
      <c r="R183" s="193"/>
      <c r="S183" s="193"/>
      <c r="T183" s="193"/>
      <c r="U183" s="193"/>
    </row>
    <row r="184" spans="1:21">
      <c r="A184" s="181" t="str">
        <f t="shared" ca="1" si="9"/>
        <v>Payload Input &amp;Type</v>
      </c>
      <c r="B184" s="181" t="s">
        <v>3501</v>
      </c>
      <c r="C184" s="181">
        <v>13</v>
      </c>
      <c r="D184" s="181" t="s">
        <v>236</v>
      </c>
      <c r="F184" s="91" t="s">
        <v>2845</v>
      </c>
      <c r="G184" s="91" t="s">
        <v>2846</v>
      </c>
      <c r="H184" s="91" t="s">
        <v>2350</v>
      </c>
      <c r="I184" s="91" t="s">
        <v>1218</v>
      </c>
      <c r="J184" s="91" t="s">
        <v>2897</v>
      </c>
      <c r="K184" s="91" t="s">
        <v>1017</v>
      </c>
      <c r="L184" s="432" t="s">
        <v>2845</v>
      </c>
      <c r="M184" s="526" t="s">
        <v>3596</v>
      </c>
      <c r="N184" s="194" t="s">
        <v>2109</v>
      </c>
      <c r="O184" s="490">
        <v>0</v>
      </c>
      <c r="P184" s="193"/>
      <c r="Q184" s="193"/>
      <c r="R184" s="193"/>
      <c r="S184" s="193"/>
      <c r="T184" s="193"/>
      <c r="U184" s="193"/>
    </row>
    <row r="185" spans="1:21">
      <c r="A185" s="181" t="str">
        <f t="shared" ca="1" si="9"/>
        <v>&amp;Save Robot Data</v>
      </c>
      <c r="B185" s="181" t="s">
        <v>3501</v>
      </c>
      <c r="C185" s="181">
        <v>13</v>
      </c>
      <c r="D185" s="181" t="s">
        <v>237</v>
      </c>
      <c r="F185" s="91" t="s">
        <v>1795</v>
      </c>
      <c r="G185" s="91" t="s">
        <v>2817</v>
      </c>
      <c r="H185" s="91" t="s">
        <v>2818</v>
      </c>
      <c r="I185" s="91" t="s">
        <v>2712</v>
      </c>
      <c r="J185" s="91" t="s">
        <v>2898</v>
      </c>
      <c r="K185" s="91" t="s">
        <v>770</v>
      </c>
      <c r="L185" s="432" t="s">
        <v>1795</v>
      </c>
      <c r="M185" s="526" t="s">
        <v>3597</v>
      </c>
      <c r="N185" s="194" t="s">
        <v>354</v>
      </c>
      <c r="O185" s="490">
        <v>0</v>
      </c>
      <c r="P185" s="193"/>
      <c r="Q185" s="193"/>
      <c r="R185" s="193"/>
      <c r="S185" s="193"/>
      <c r="T185" s="193"/>
      <c r="U185" s="193"/>
    </row>
    <row r="186" spans="1:21">
      <c r="A186" s="181" t="str">
        <f t="shared" ca="1" si="9"/>
        <v>&amp;Load Robot Data</v>
      </c>
      <c r="B186" s="181" t="s">
        <v>3501</v>
      </c>
      <c r="C186" s="181">
        <v>13</v>
      </c>
      <c r="D186" s="181" t="s">
        <v>238</v>
      </c>
      <c r="F186" s="91" t="s">
        <v>184</v>
      </c>
      <c r="G186" s="91" t="s">
        <v>2816</v>
      </c>
      <c r="H186" s="91" t="s">
        <v>3032</v>
      </c>
      <c r="I186" s="91" t="s">
        <v>2630</v>
      </c>
      <c r="J186" s="91" t="s">
        <v>183</v>
      </c>
      <c r="K186" s="91" t="s">
        <v>2228</v>
      </c>
      <c r="L186" s="432" t="s">
        <v>184</v>
      </c>
      <c r="M186" s="526" t="s">
        <v>2554</v>
      </c>
      <c r="N186" s="194" t="s">
        <v>502</v>
      </c>
      <c r="O186" s="490">
        <v>0</v>
      </c>
      <c r="P186" s="193"/>
      <c r="Q186" s="193"/>
      <c r="R186" s="193"/>
      <c r="S186" s="193"/>
      <c r="T186" s="193"/>
      <c r="U186" s="193"/>
    </row>
    <row r="187" spans="1:21">
      <c r="A187" s="181" t="str">
        <f t="shared" ca="1" si="9"/>
        <v>Save Summary</v>
      </c>
      <c r="B187" s="181" t="s">
        <v>3501</v>
      </c>
      <c r="C187" s="181">
        <v>13</v>
      </c>
      <c r="D187" s="181" t="s">
        <v>239</v>
      </c>
      <c r="F187" s="91" t="s">
        <v>1920</v>
      </c>
      <c r="G187" s="91" t="s">
        <v>2631</v>
      </c>
      <c r="H187" s="91" t="s">
        <v>220</v>
      </c>
      <c r="I187" s="91" t="s">
        <v>2632</v>
      </c>
      <c r="J187" s="91" t="s">
        <v>2957</v>
      </c>
      <c r="K187" s="91" t="s">
        <v>3406</v>
      </c>
      <c r="L187" s="432" t="s">
        <v>1920</v>
      </c>
      <c r="M187" s="526" t="s">
        <v>1461</v>
      </c>
      <c r="N187" s="194" t="s">
        <v>95</v>
      </c>
      <c r="O187" s="490">
        <v>0</v>
      </c>
      <c r="P187" s="193"/>
      <c r="Q187" s="193"/>
      <c r="R187" s="193"/>
      <c r="S187" s="193"/>
      <c r="T187" s="193"/>
      <c r="U187" s="193"/>
    </row>
    <row r="188" spans="1:21">
      <c r="A188" s="181" t="str">
        <f t="shared" ca="1" si="9"/>
        <v>Load Summary</v>
      </c>
      <c r="B188" s="181" t="s">
        <v>3501</v>
      </c>
      <c r="C188" s="181">
        <v>13</v>
      </c>
      <c r="D188" s="181" t="s">
        <v>3134</v>
      </c>
      <c r="F188" s="91" t="s">
        <v>1921</v>
      </c>
      <c r="G188" s="91" t="s">
        <v>2633</v>
      </c>
      <c r="H188" s="91" t="s">
        <v>128</v>
      </c>
      <c r="I188" s="91" t="s">
        <v>185</v>
      </c>
      <c r="J188" s="91" t="s">
        <v>229</v>
      </c>
      <c r="K188" s="91" t="s">
        <v>1614</v>
      </c>
      <c r="L188" s="432" t="s">
        <v>1921</v>
      </c>
      <c r="M188" s="526" t="s">
        <v>2248</v>
      </c>
      <c r="N188" s="194" t="s">
        <v>96</v>
      </c>
      <c r="O188" s="490">
        <v>0</v>
      </c>
      <c r="P188" s="193"/>
      <c r="Q188" s="193"/>
      <c r="R188" s="193"/>
      <c r="S188" s="193"/>
      <c r="T188" s="193"/>
      <c r="U188" s="193"/>
    </row>
    <row r="189" spans="1:21">
      <c r="A189" s="181" t="str">
        <f t="shared" ca="1" si="9"/>
        <v>CofG - SI</v>
      </c>
      <c r="B189" s="181" t="s">
        <v>3501</v>
      </c>
      <c r="C189" s="181">
        <v>13</v>
      </c>
      <c r="D189" s="181" t="s">
        <v>3166</v>
      </c>
      <c r="E189" s="91" t="s">
        <v>3588</v>
      </c>
      <c r="F189" s="91" t="s">
        <v>159</v>
      </c>
      <c r="G189" s="91" t="s">
        <v>186</v>
      </c>
      <c r="H189" s="91" t="s">
        <v>159</v>
      </c>
      <c r="I189" s="91" t="s">
        <v>159</v>
      </c>
      <c r="J189" s="91" t="s">
        <v>159</v>
      </c>
      <c r="K189" s="91" t="s">
        <v>159</v>
      </c>
      <c r="L189" s="432" t="s">
        <v>159</v>
      </c>
      <c r="M189" s="526" t="s">
        <v>3263</v>
      </c>
      <c r="N189" s="194" t="s">
        <v>503</v>
      </c>
      <c r="O189" s="490">
        <v>0</v>
      </c>
      <c r="P189" s="193"/>
      <c r="Q189" s="193"/>
      <c r="R189" s="193"/>
      <c r="S189" s="193"/>
      <c r="T189" s="193"/>
      <c r="U189" s="193"/>
    </row>
    <row r="190" spans="1:21">
      <c r="A190" s="181" t="str">
        <f t="shared" ca="1" si="9"/>
        <v>CofG - PID</v>
      </c>
      <c r="B190" s="181" t="s">
        <v>3501</v>
      </c>
      <c r="C190" s="181">
        <v>13</v>
      </c>
      <c r="D190" s="181" t="s">
        <v>3320</v>
      </c>
      <c r="F190" s="91" t="s">
        <v>1590</v>
      </c>
      <c r="G190" s="91" t="s">
        <v>842</v>
      </c>
      <c r="H190" s="91" t="s">
        <v>1590</v>
      </c>
      <c r="I190" s="91" t="s">
        <v>1590</v>
      </c>
      <c r="J190" s="91" t="s">
        <v>1590</v>
      </c>
      <c r="K190" s="91" t="s">
        <v>1590</v>
      </c>
      <c r="L190" s="432" t="s">
        <v>1590</v>
      </c>
      <c r="M190" s="526" t="s">
        <v>2555</v>
      </c>
      <c r="N190" s="194" t="s">
        <v>504</v>
      </c>
      <c r="O190" s="490">
        <v>0</v>
      </c>
      <c r="P190" s="193"/>
      <c r="Q190" s="193"/>
      <c r="R190" s="193"/>
      <c r="S190" s="193"/>
      <c r="T190" s="193"/>
      <c r="U190" s="193"/>
    </row>
    <row r="191" spans="1:21">
      <c r="A191" s="181" t="str">
        <f t="shared" ca="1" si="9"/>
        <v>Axis - SI</v>
      </c>
      <c r="B191" s="181" t="s">
        <v>3501</v>
      </c>
      <c r="C191" s="181">
        <v>13</v>
      </c>
      <c r="D191" s="181" t="s">
        <v>3321</v>
      </c>
      <c r="F191" s="91" t="s">
        <v>3607</v>
      </c>
      <c r="G191" s="91" t="s">
        <v>532</v>
      </c>
      <c r="H191" s="91" t="s">
        <v>3607</v>
      </c>
      <c r="I191" s="91" t="s">
        <v>533</v>
      </c>
      <c r="J191" s="91" t="s">
        <v>1078</v>
      </c>
      <c r="K191" s="91" t="s">
        <v>1615</v>
      </c>
      <c r="L191" s="432" t="s">
        <v>3607</v>
      </c>
      <c r="M191" s="526" t="s">
        <v>3264</v>
      </c>
      <c r="N191" s="194" t="s">
        <v>505</v>
      </c>
      <c r="O191" s="490">
        <v>0</v>
      </c>
      <c r="P191" s="193"/>
      <c r="Q191" s="193"/>
      <c r="R191" s="193"/>
      <c r="S191" s="193"/>
      <c r="T191" s="193"/>
      <c r="U191" s="193"/>
    </row>
    <row r="192" spans="1:21">
      <c r="A192" s="181" t="str">
        <f t="shared" ca="1" si="9"/>
        <v>Axis - PID</v>
      </c>
      <c r="B192" s="181" t="s">
        <v>3501</v>
      </c>
      <c r="C192" s="181">
        <v>13</v>
      </c>
      <c r="D192" s="181" t="s">
        <v>832</v>
      </c>
      <c r="F192" s="91" t="s">
        <v>1591</v>
      </c>
      <c r="G192" s="91" t="s">
        <v>534</v>
      </c>
      <c r="H192" s="91" t="s">
        <v>1591</v>
      </c>
      <c r="I192" s="91" t="s">
        <v>3194</v>
      </c>
      <c r="J192" s="91" t="s">
        <v>883</v>
      </c>
      <c r="K192" s="91" t="s">
        <v>1616</v>
      </c>
      <c r="L192" s="432" t="s">
        <v>1591</v>
      </c>
      <c r="M192" s="526" t="s">
        <v>2625</v>
      </c>
      <c r="N192" s="194" t="s">
        <v>2043</v>
      </c>
      <c r="O192" s="490">
        <v>0</v>
      </c>
      <c r="P192" s="193"/>
      <c r="Q192" s="193"/>
      <c r="R192" s="193"/>
      <c r="S192" s="193"/>
      <c r="T192" s="193"/>
      <c r="U192" s="193"/>
    </row>
    <row r="193" spans="1:25">
      <c r="A193" s="181" t="str">
        <f t="shared" ref="A193:A204" ca="1" si="10">OFFSET(E193,0,$E$3)</f>
        <v>Language</v>
      </c>
      <c r="B193" s="91" t="s">
        <v>3501</v>
      </c>
      <c r="C193" s="181">
        <v>13</v>
      </c>
      <c r="D193" s="91" t="s">
        <v>833</v>
      </c>
      <c r="E193" s="91" t="s">
        <v>873</v>
      </c>
      <c r="F193" s="91" t="s">
        <v>3083</v>
      </c>
      <c r="G193" s="91" t="s">
        <v>2644</v>
      </c>
      <c r="H193" s="91" t="s">
        <v>2645</v>
      </c>
      <c r="I193" s="91" t="s">
        <v>3634</v>
      </c>
      <c r="J193" s="91" t="s">
        <v>3633</v>
      </c>
      <c r="K193" s="91" t="s">
        <v>2258</v>
      </c>
      <c r="L193" s="432" t="s">
        <v>3083</v>
      </c>
      <c r="M193" s="526" t="s">
        <v>1900</v>
      </c>
      <c r="N193" s="194" t="s">
        <v>3082</v>
      </c>
      <c r="O193" s="490">
        <v>0</v>
      </c>
      <c r="P193" s="193"/>
      <c r="Q193" s="193"/>
      <c r="R193" s="193"/>
      <c r="S193" s="193"/>
      <c r="T193" s="193"/>
      <c r="U193" s="193"/>
    </row>
    <row r="194" spans="1:25">
      <c r="A194" s="181" t="str">
        <f t="shared" ca="1" si="10"/>
        <v>Setup</v>
      </c>
      <c r="B194" s="91" t="s">
        <v>3501</v>
      </c>
      <c r="C194" s="181">
        <v>13</v>
      </c>
      <c r="D194" s="91" t="s">
        <v>871</v>
      </c>
      <c r="F194" s="91" t="s">
        <v>3040</v>
      </c>
      <c r="G194" s="91" t="s">
        <v>1610</v>
      </c>
      <c r="H194" s="91" t="s">
        <v>3084</v>
      </c>
      <c r="I194" s="91" t="s">
        <v>3672</v>
      </c>
      <c r="J194" s="91" t="s">
        <v>3617</v>
      </c>
      <c r="K194" s="91" t="s">
        <v>3040</v>
      </c>
      <c r="L194" s="432" t="s">
        <v>3040</v>
      </c>
      <c r="M194" s="526" t="s">
        <v>1901</v>
      </c>
      <c r="N194" s="194" t="s">
        <v>849</v>
      </c>
      <c r="O194" s="490">
        <v>0</v>
      </c>
      <c r="P194" s="193"/>
      <c r="Q194" s="193"/>
      <c r="R194" s="193"/>
      <c r="S194" s="193"/>
      <c r="T194" s="193"/>
      <c r="U194" s="193"/>
    </row>
    <row r="195" spans="1:25">
      <c r="A195" s="181" t="str">
        <f t="shared" ca="1" si="10"/>
        <v>Project</v>
      </c>
      <c r="B195" s="91" t="s">
        <v>3501</v>
      </c>
      <c r="C195" s="181">
        <v>13</v>
      </c>
      <c r="D195" s="91" t="s">
        <v>2615</v>
      </c>
      <c r="F195" s="91" t="s">
        <v>2028</v>
      </c>
      <c r="G195" s="91" t="s">
        <v>1056</v>
      </c>
      <c r="H195" s="91" t="s">
        <v>3085</v>
      </c>
      <c r="I195" s="91" t="s">
        <v>3758</v>
      </c>
      <c r="J195" s="91" t="s">
        <v>393</v>
      </c>
      <c r="K195" s="91" t="s">
        <v>2028</v>
      </c>
      <c r="L195" s="432" t="s">
        <v>2028</v>
      </c>
      <c r="M195" s="526" t="s">
        <v>2557</v>
      </c>
      <c r="N195" s="194" t="s">
        <v>850</v>
      </c>
      <c r="O195" s="490">
        <v>0</v>
      </c>
      <c r="P195" s="193"/>
      <c r="Q195" s="193"/>
      <c r="R195" s="193"/>
      <c r="S195" s="193"/>
      <c r="T195" s="193"/>
      <c r="U195" s="193"/>
    </row>
    <row r="196" spans="1:25">
      <c r="A196" s="181" t="str">
        <f t="shared" ca="1" si="10"/>
        <v>Setup Project</v>
      </c>
      <c r="B196" s="91" t="s">
        <v>3501</v>
      </c>
      <c r="C196" s="181">
        <v>13</v>
      </c>
      <c r="D196" s="91" t="s">
        <v>536</v>
      </c>
      <c r="F196" s="91" t="s">
        <v>2042</v>
      </c>
      <c r="G196" s="91" t="s">
        <v>2760</v>
      </c>
      <c r="H196" s="91" t="s">
        <v>3495</v>
      </c>
      <c r="I196" s="91" t="s">
        <v>3565</v>
      </c>
      <c r="J196" s="91" t="s">
        <v>3618</v>
      </c>
      <c r="K196" s="91" t="s">
        <v>2042</v>
      </c>
      <c r="L196" s="432" t="s">
        <v>2042</v>
      </c>
      <c r="M196" s="526" t="s">
        <v>579</v>
      </c>
      <c r="N196" s="194" t="s">
        <v>3533</v>
      </c>
      <c r="O196" s="490">
        <v>0</v>
      </c>
      <c r="P196" s="193"/>
      <c r="Q196" s="193"/>
      <c r="R196" s="193"/>
      <c r="S196" s="193"/>
      <c r="T196" s="193"/>
      <c r="U196" s="193"/>
    </row>
    <row r="197" spans="1:25">
      <c r="A197" s="181" t="str">
        <f t="shared" ca="1" si="10"/>
        <v>Save Project</v>
      </c>
      <c r="B197" s="91" t="s">
        <v>3501</v>
      </c>
      <c r="C197" s="181">
        <v>13</v>
      </c>
      <c r="D197" s="91" t="s">
        <v>537</v>
      </c>
      <c r="F197" s="91" t="s">
        <v>2997</v>
      </c>
      <c r="G197" s="91" t="s">
        <v>1057</v>
      </c>
      <c r="H197" s="91" t="s">
        <v>1509</v>
      </c>
      <c r="I197" s="91" t="s">
        <v>460</v>
      </c>
      <c r="J197" s="91" t="s">
        <v>3619</v>
      </c>
      <c r="K197" s="91" t="s">
        <v>1956</v>
      </c>
      <c r="L197" s="432" t="s">
        <v>2997</v>
      </c>
      <c r="M197" s="526" t="s">
        <v>580</v>
      </c>
      <c r="N197" s="194" t="s">
        <v>2488</v>
      </c>
      <c r="O197" s="490">
        <v>0</v>
      </c>
      <c r="P197" s="193"/>
      <c r="Q197" s="193"/>
      <c r="R197" s="193"/>
      <c r="S197" s="193"/>
      <c r="T197" s="193"/>
      <c r="U197" s="193"/>
    </row>
    <row r="198" spans="1:25">
      <c r="A198" s="181" t="str">
        <f t="shared" ca="1" si="10"/>
        <v>Load Project</v>
      </c>
      <c r="B198" s="91" t="s">
        <v>3501</v>
      </c>
      <c r="C198" s="181">
        <v>13</v>
      </c>
      <c r="D198" s="91" t="s">
        <v>3475</v>
      </c>
      <c r="F198" s="91" t="s">
        <v>2998</v>
      </c>
      <c r="G198" s="91" t="s">
        <v>3757</v>
      </c>
      <c r="H198" s="91" t="s">
        <v>1993</v>
      </c>
      <c r="I198" s="91" t="s">
        <v>461</v>
      </c>
      <c r="J198" s="91" t="s">
        <v>3620</v>
      </c>
      <c r="K198" s="91" t="s">
        <v>1905</v>
      </c>
      <c r="L198" s="432" t="s">
        <v>2998</v>
      </c>
      <c r="M198" s="526" t="s">
        <v>581</v>
      </c>
      <c r="N198" s="194" t="s">
        <v>1950</v>
      </c>
      <c r="O198" s="490">
        <v>0</v>
      </c>
      <c r="P198" s="193"/>
      <c r="Q198" s="193"/>
      <c r="R198" s="193"/>
      <c r="S198" s="193"/>
      <c r="T198" s="193"/>
      <c r="U198" s="193"/>
    </row>
    <row r="199" spans="1:25" ht="12.75" customHeight="1">
      <c r="A199" s="488" t="str">
        <f t="shared" ca="1" si="10"/>
        <v>Multi Payload</v>
      </c>
      <c r="B199" s="488" t="s">
        <v>3501</v>
      </c>
      <c r="C199" s="488">
        <v>13</v>
      </c>
      <c r="D199" s="488" t="s">
        <v>2214</v>
      </c>
      <c r="E199" s="488"/>
      <c r="F199" s="488" t="s">
        <v>1264</v>
      </c>
      <c r="G199" s="488" t="s">
        <v>1265</v>
      </c>
      <c r="H199" s="488" t="s">
        <v>1266</v>
      </c>
      <c r="I199" s="488" t="s">
        <v>1264</v>
      </c>
      <c r="J199" s="488" t="s">
        <v>726</v>
      </c>
      <c r="K199" s="488" t="s">
        <v>1264</v>
      </c>
      <c r="L199" s="491" t="s">
        <v>3789</v>
      </c>
      <c r="M199" s="491" t="s">
        <v>3790</v>
      </c>
      <c r="N199" s="490" t="s">
        <v>3350</v>
      </c>
      <c r="O199" s="193">
        <v>0</v>
      </c>
      <c r="P199" s="193"/>
      <c r="Q199" s="193"/>
      <c r="R199" s="193"/>
      <c r="S199" s="193"/>
      <c r="T199" s="193"/>
      <c r="U199" s="193"/>
      <c r="V199" s="91"/>
      <c r="W199" s="91"/>
      <c r="X199" s="91"/>
    </row>
    <row r="200" spans="1:25" ht="12.75" customHeight="1">
      <c r="A200" s="488" t="str">
        <f t="shared" ca="1" si="10"/>
        <v>Send Data to Robot Analysis sheet</v>
      </c>
      <c r="B200" s="488" t="s">
        <v>3501</v>
      </c>
      <c r="C200" s="488">
        <v>13</v>
      </c>
      <c r="D200" s="488" t="s">
        <v>2215</v>
      </c>
      <c r="E200" s="488"/>
      <c r="F200" s="488" t="s">
        <v>3351</v>
      </c>
      <c r="G200" s="488" t="s">
        <v>3352</v>
      </c>
      <c r="H200" s="488" t="s">
        <v>370</v>
      </c>
      <c r="I200" s="488" t="s">
        <v>371</v>
      </c>
      <c r="J200" s="488" t="s">
        <v>372</v>
      </c>
      <c r="K200" s="488" t="s">
        <v>373</v>
      </c>
      <c r="L200" s="491" t="s">
        <v>374</v>
      </c>
      <c r="M200" s="491" t="s">
        <v>375</v>
      </c>
      <c r="N200" s="490" t="s">
        <v>376</v>
      </c>
      <c r="O200" s="193">
        <v>0</v>
      </c>
      <c r="P200" s="193"/>
      <c r="Q200" s="193"/>
      <c r="R200" s="193"/>
      <c r="S200" s="193"/>
      <c r="T200" s="193"/>
      <c r="U200" s="193"/>
      <c r="V200" s="91"/>
      <c r="W200" s="91"/>
      <c r="X200" s="91"/>
    </row>
    <row r="201" spans="1:25" ht="12.75" customHeight="1">
      <c r="A201" s="488" t="str">
        <f t="shared" ca="1" si="10"/>
        <v>Save Data</v>
      </c>
      <c r="B201" s="488" t="s">
        <v>3501</v>
      </c>
      <c r="C201" s="488">
        <v>13</v>
      </c>
      <c r="D201" s="488" t="s">
        <v>2216</v>
      </c>
      <c r="E201" s="488"/>
      <c r="F201" s="488" t="s">
        <v>377</v>
      </c>
      <c r="G201" s="488" t="s">
        <v>378</v>
      </c>
      <c r="H201" s="488" t="s">
        <v>379</v>
      </c>
      <c r="I201" s="488" t="s">
        <v>380</v>
      </c>
      <c r="J201" s="488" t="s">
        <v>2592</v>
      </c>
      <c r="K201" s="488" t="s">
        <v>377</v>
      </c>
      <c r="L201" s="491" t="s">
        <v>2593</v>
      </c>
      <c r="M201" s="491" t="s">
        <v>2594</v>
      </c>
      <c r="N201" s="490" t="s">
        <v>2595</v>
      </c>
      <c r="O201" s="193">
        <v>0</v>
      </c>
      <c r="P201" s="193"/>
      <c r="Q201" s="193"/>
      <c r="R201" s="193"/>
      <c r="S201" s="193"/>
      <c r="T201" s="193"/>
      <c r="U201" s="193"/>
      <c r="V201" s="91"/>
      <c r="W201" s="91"/>
      <c r="X201" s="91"/>
    </row>
    <row r="202" spans="1:25" ht="12.75" customHeight="1">
      <c r="A202" s="488" t="str">
        <f t="shared" ca="1" si="10"/>
        <v>Load Data</v>
      </c>
      <c r="B202" s="488" t="s">
        <v>3501</v>
      </c>
      <c r="C202" s="488">
        <v>13</v>
      </c>
      <c r="D202" s="488" t="s">
        <v>2217</v>
      </c>
      <c r="E202" s="488"/>
      <c r="F202" s="488" t="s">
        <v>2596</v>
      </c>
      <c r="G202" s="488" t="s">
        <v>2597</v>
      </c>
      <c r="H202" s="488" t="s">
        <v>2598</v>
      </c>
      <c r="I202" s="488" t="s">
        <v>1070</v>
      </c>
      <c r="J202" s="488" t="s">
        <v>1071</v>
      </c>
      <c r="K202" s="488" t="s">
        <v>327</v>
      </c>
      <c r="L202" s="491" t="s">
        <v>328</v>
      </c>
      <c r="M202" s="491" t="s">
        <v>329</v>
      </c>
      <c r="N202" s="490" t="s">
        <v>330</v>
      </c>
      <c r="O202" s="193">
        <v>0</v>
      </c>
      <c r="P202" s="193"/>
      <c r="Q202" s="193"/>
      <c r="R202" s="193"/>
      <c r="S202" s="193"/>
      <c r="T202" s="193"/>
      <c r="U202" s="193"/>
      <c r="V202" s="91"/>
      <c r="W202" s="91"/>
      <c r="X202" s="91"/>
    </row>
    <row r="203" spans="1:25" ht="12.75" customHeight="1">
      <c r="A203" s="488" t="str">
        <f t="shared" ca="1" si="10"/>
        <v>Load Total Load as Part Load</v>
      </c>
      <c r="B203" s="488" t="s">
        <v>3501</v>
      </c>
      <c r="C203" s="488">
        <v>13</v>
      </c>
      <c r="D203" s="488" t="s">
        <v>2218</v>
      </c>
      <c r="E203" s="488"/>
      <c r="F203" s="488" t="s">
        <v>2494</v>
      </c>
      <c r="G203" s="488" t="s">
        <v>2495</v>
      </c>
      <c r="H203" s="488" t="s">
        <v>2496</v>
      </c>
      <c r="I203" s="488" t="s">
        <v>2497</v>
      </c>
      <c r="J203" s="488" t="s">
        <v>2498</v>
      </c>
      <c r="K203" s="488" t="s">
        <v>665</v>
      </c>
      <c r="L203" s="491" t="s">
        <v>666</v>
      </c>
      <c r="M203" s="491" t="s">
        <v>667</v>
      </c>
      <c r="N203" s="490" t="s">
        <v>1045</v>
      </c>
      <c r="O203" s="193">
        <v>0</v>
      </c>
      <c r="P203" s="193"/>
      <c r="Q203" s="193"/>
      <c r="R203" s="193"/>
      <c r="S203" s="193"/>
      <c r="T203" s="193"/>
      <c r="U203" s="193"/>
      <c r="V203" s="91"/>
      <c r="W203" s="91"/>
      <c r="X203" s="91"/>
    </row>
    <row r="204" spans="1:25" ht="12.75" customHeight="1">
      <c r="A204" s="488" t="str">
        <f t="shared" ca="1" si="10"/>
        <v>Box</v>
      </c>
      <c r="B204" s="488" t="s">
        <v>3501</v>
      </c>
      <c r="C204" s="488">
        <v>13</v>
      </c>
      <c r="D204" s="488" t="s">
        <v>2219</v>
      </c>
      <c r="E204" s="488"/>
      <c r="F204" s="488" t="s">
        <v>85</v>
      </c>
      <c r="G204" s="488" t="s">
        <v>1046</v>
      </c>
      <c r="H204" s="488" t="s">
        <v>85</v>
      </c>
      <c r="I204" s="488" t="s">
        <v>1047</v>
      </c>
      <c r="J204" s="488" t="s">
        <v>2210</v>
      </c>
      <c r="K204" s="488" t="s">
        <v>85</v>
      </c>
      <c r="L204" s="491" t="s">
        <v>2211</v>
      </c>
      <c r="M204" s="491" t="s">
        <v>2212</v>
      </c>
      <c r="N204" s="490" t="s">
        <v>2213</v>
      </c>
      <c r="O204" s="193">
        <v>0</v>
      </c>
      <c r="P204" s="193"/>
      <c r="Q204" s="193"/>
      <c r="R204" s="193"/>
      <c r="S204" s="193"/>
      <c r="T204" s="193"/>
      <c r="U204" s="193"/>
      <c r="V204" s="91"/>
      <c r="W204" s="91"/>
      <c r="X204" s="91"/>
    </row>
    <row r="205" spans="1:25">
      <c r="A205" s="181" t="str">
        <f ca="1">OFFSET(E205,0,$E$3)</f>
        <v>J5 Offset (Insulated Flange)</v>
      </c>
      <c r="B205" s="181" t="s">
        <v>3501</v>
      </c>
      <c r="C205" s="181">
        <v>13</v>
      </c>
      <c r="D205" s="181" t="s">
        <v>3349</v>
      </c>
      <c r="F205" s="91" t="s">
        <v>249</v>
      </c>
      <c r="G205" s="91" t="s">
        <v>1042</v>
      </c>
      <c r="H205" s="91" t="s">
        <v>1816</v>
      </c>
      <c r="I205" s="91" t="s">
        <v>696</v>
      </c>
      <c r="J205" s="91" t="s">
        <v>3822</v>
      </c>
      <c r="K205" s="91" t="s">
        <v>3213</v>
      </c>
      <c r="L205" s="433" t="s">
        <v>1368</v>
      </c>
      <c r="M205" s="526" t="s">
        <v>1369</v>
      </c>
      <c r="N205" s="194" t="s">
        <v>2125</v>
      </c>
      <c r="O205" s="490">
        <v>0</v>
      </c>
      <c r="P205" s="193"/>
      <c r="Q205" s="193"/>
      <c r="R205" s="193"/>
      <c r="S205" s="193"/>
      <c r="T205" s="193"/>
      <c r="U205" s="193"/>
    </row>
    <row r="206" spans="1:25">
      <c r="A206" s="181"/>
      <c r="B206" s="181"/>
      <c r="C206" s="181"/>
      <c r="D206" s="181"/>
      <c r="P206" s="193"/>
      <c r="Q206" s="193"/>
      <c r="R206" s="193"/>
      <c r="S206" s="193"/>
      <c r="T206" s="193"/>
      <c r="U206" s="193"/>
    </row>
    <row r="207" spans="1:25">
      <c r="A207" s="181" t="str">
        <f ca="1">OFFSET(E207,0,$E$3)</f>
        <v>Select Robot</v>
      </c>
      <c r="B207" s="181" t="s">
        <v>3501</v>
      </c>
      <c r="C207" s="181">
        <v>13</v>
      </c>
      <c r="D207" s="181" t="s">
        <v>861</v>
      </c>
      <c r="E207" s="91" t="s">
        <v>1054</v>
      </c>
      <c r="F207" s="91" t="s">
        <v>3788</v>
      </c>
      <c r="G207" s="91" t="s">
        <v>3470</v>
      </c>
      <c r="H207" s="91" t="s">
        <v>3471</v>
      </c>
      <c r="I207" s="91" t="s">
        <v>3344</v>
      </c>
      <c r="J207" s="91" t="s">
        <v>1442</v>
      </c>
      <c r="K207" s="91" t="s">
        <v>2368</v>
      </c>
      <c r="L207" s="432" t="s">
        <v>3853</v>
      </c>
      <c r="M207" s="526" t="s">
        <v>3853</v>
      </c>
      <c r="N207" s="194" t="s">
        <v>1165</v>
      </c>
      <c r="O207" s="490">
        <v>0</v>
      </c>
      <c r="P207" s="193"/>
      <c r="Q207" s="193"/>
      <c r="R207" s="193"/>
      <c r="S207" s="193"/>
      <c r="T207" s="193"/>
      <c r="U207" s="193"/>
      <c r="Y207" s="517"/>
    </row>
    <row r="208" spans="1:25">
      <c r="A208" s="181" t="str">
        <f ca="1">OFFSET(E208,0,$E$3)</f>
        <v>Select Payload Input Type</v>
      </c>
      <c r="B208" s="181" t="s">
        <v>3501</v>
      </c>
      <c r="C208" s="181">
        <v>13</v>
      </c>
      <c r="D208" s="181" t="s">
        <v>862</v>
      </c>
      <c r="F208" s="91" t="s">
        <v>3183</v>
      </c>
      <c r="G208" s="91" t="s">
        <v>3345</v>
      </c>
      <c r="H208" s="91" t="s">
        <v>129</v>
      </c>
      <c r="I208" s="91" t="s">
        <v>2146</v>
      </c>
      <c r="J208" s="91" t="s">
        <v>2296</v>
      </c>
      <c r="K208" s="91" t="s">
        <v>1886</v>
      </c>
      <c r="L208" s="432" t="s">
        <v>3854</v>
      </c>
      <c r="M208" s="526" t="s">
        <v>3854</v>
      </c>
      <c r="N208" s="194" t="s">
        <v>426</v>
      </c>
      <c r="O208" s="490">
        <v>0</v>
      </c>
      <c r="P208" s="193"/>
      <c r="Q208" s="193"/>
      <c r="R208" s="193"/>
      <c r="S208" s="193"/>
      <c r="T208" s="193"/>
      <c r="U208" s="193"/>
      <c r="Y208" s="517"/>
    </row>
    <row r="209" spans="1:25">
      <c r="A209" s="181" t="str">
        <f ca="1">OFFSET(E209,0,$E$3)</f>
        <v>Select Robot No.</v>
      </c>
      <c r="B209" s="181" t="s">
        <v>3501</v>
      </c>
      <c r="C209" s="181">
        <v>13</v>
      </c>
      <c r="D209" s="181" t="s">
        <v>863</v>
      </c>
      <c r="F209" s="91" t="s">
        <v>3496</v>
      </c>
      <c r="G209" s="91" t="s">
        <v>3274</v>
      </c>
      <c r="H209" s="91" t="s">
        <v>2320</v>
      </c>
      <c r="I209" s="91" t="s">
        <v>1535</v>
      </c>
      <c r="J209" s="91" t="s">
        <v>983</v>
      </c>
      <c r="K209" s="91" t="s">
        <v>2369</v>
      </c>
      <c r="L209" s="432" t="s">
        <v>1894</v>
      </c>
      <c r="M209" s="526" t="s">
        <v>1894</v>
      </c>
      <c r="N209" s="194" t="s">
        <v>3231</v>
      </c>
      <c r="O209" s="490">
        <v>0</v>
      </c>
      <c r="P209" s="193"/>
      <c r="Q209" s="193"/>
      <c r="R209" s="193"/>
      <c r="S209" s="193"/>
      <c r="T209" s="193"/>
      <c r="U209" s="193"/>
      <c r="Y209" s="517"/>
    </row>
    <row r="210" spans="1:25">
      <c r="A210" s="181"/>
      <c r="B210" s="181"/>
      <c r="C210" s="181"/>
      <c r="D210" s="181"/>
      <c r="P210" s="193"/>
      <c r="Q210" s="193"/>
      <c r="R210" s="193"/>
      <c r="S210" s="193"/>
      <c r="T210" s="193"/>
      <c r="U210" s="193"/>
    </row>
    <row r="211" spans="1:25">
      <c r="A211" s="181" t="str">
        <f t="shared" ref="A211:A216" ca="1" si="11">OFFSET(E211,0,$E$3)</f>
        <v>Select Robot Type</v>
      </c>
      <c r="B211" s="181" t="s">
        <v>3501</v>
      </c>
      <c r="C211" s="181">
        <v>13</v>
      </c>
      <c r="D211" s="181" t="s">
        <v>1917</v>
      </c>
      <c r="E211" s="91" t="s">
        <v>654</v>
      </c>
      <c r="F211" s="91" t="s">
        <v>3829</v>
      </c>
      <c r="G211" s="91" t="s">
        <v>3470</v>
      </c>
      <c r="H211" s="91" t="s">
        <v>3471</v>
      </c>
      <c r="I211" s="91" t="s">
        <v>3344</v>
      </c>
      <c r="J211" s="91" t="s">
        <v>1784</v>
      </c>
      <c r="K211" s="91" t="s">
        <v>2251</v>
      </c>
      <c r="L211" s="432" t="s">
        <v>3829</v>
      </c>
      <c r="M211" s="526" t="s">
        <v>972</v>
      </c>
      <c r="N211" s="194" t="s">
        <v>1063</v>
      </c>
      <c r="O211" s="490">
        <v>0</v>
      </c>
      <c r="P211" s="193"/>
      <c r="Q211" s="193"/>
      <c r="R211" s="193"/>
      <c r="S211" s="193"/>
      <c r="T211" s="193"/>
      <c r="U211" s="193"/>
    </row>
    <row r="212" spans="1:25">
      <c r="A212" s="181" t="str">
        <f t="shared" ca="1" si="11"/>
        <v>Select Payload Type</v>
      </c>
      <c r="B212" s="181" t="s">
        <v>3501</v>
      </c>
      <c r="C212" s="181">
        <v>13</v>
      </c>
      <c r="D212" s="181" t="s">
        <v>3397</v>
      </c>
      <c r="F212" s="91" t="s">
        <v>2640</v>
      </c>
      <c r="G212" s="91" t="s">
        <v>3345</v>
      </c>
      <c r="H212" s="91" t="s">
        <v>129</v>
      </c>
      <c r="I212" s="91" t="s">
        <v>2146</v>
      </c>
      <c r="J212" s="91" t="s">
        <v>2561</v>
      </c>
      <c r="K212" s="91" t="s">
        <v>1886</v>
      </c>
      <c r="L212" s="432" t="s">
        <v>2640</v>
      </c>
      <c r="M212" s="526" t="s">
        <v>3855</v>
      </c>
      <c r="N212" s="194" t="s">
        <v>2396</v>
      </c>
      <c r="O212" s="490">
        <v>0</v>
      </c>
      <c r="P212" s="193"/>
      <c r="Q212" s="193"/>
      <c r="R212" s="193"/>
      <c r="S212" s="193"/>
      <c r="T212" s="193"/>
      <c r="U212" s="193"/>
    </row>
    <row r="213" spans="1:25">
      <c r="A213" s="181" t="str">
        <f t="shared" ca="1" si="11"/>
        <v>Save Robot Data</v>
      </c>
      <c r="B213" s="181" t="s">
        <v>3501</v>
      </c>
      <c r="C213" s="181">
        <v>13</v>
      </c>
      <c r="D213" s="181" t="s">
        <v>973</v>
      </c>
      <c r="F213" s="91" t="s">
        <v>2641</v>
      </c>
      <c r="G213" s="91" t="s">
        <v>2646</v>
      </c>
      <c r="H213" s="91" t="s">
        <v>2647</v>
      </c>
      <c r="I213" s="91" t="s">
        <v>2229</v>
      </c>
      <c r="J213" s="91" t="s">
        <v>2051</v>
      </c>
      <c r="K213" s="91" t="s">
        <v>2252</v>
      </c>
      <c r="L213" s="432" t="s">
        <v>2641</v>
      </c>
      <c r="M213" s="526" t="s">
        <v>2718</v>
      </c>
      <c r="N213" s="194" t="s">
        <v>132</v>
      </c>
      <c r="O213" s="490">
        <v>0</v>
      </c>
      <c r="P213" s="193"/>
      <c r="Q213" s="193"/>
      <c r="R213" s="193"/>
      <c r="S213" s="193"/>
      <c r="T213" s="193"/>
      <c r="U213" s="193"/>
    </row>
    <row r="214" spans="1:25">
      <c r="A214" s="181" t="str">
        <f t="shared" ca="1" si="11"/>
        <v>Load Robot Data</v>
      </c>
      <c r="B214" s="181" t="s">
        <v>3501</v>
      </c>
      <c r="C214" s="181">
        <v>13</v>
      </c>
      <c r="D214" s="181" t="s">
        <v>266</v>
      </c>
      <c r="F214" s="91" t="s">
        <v>1364</v>
      </c>
      <c r="G214" s="91" t="s">
        <v>1365</v>
      </c>
      <c r="H214" s="91" t="s">
        <v>1061</v>
      </c>
      <c r="I214" s="91" t="s">
        <v>1062</v>
      </c>
      <c r="J214" s="91" t="s">
        <v>3825</v>
      </c>
      <c r="K214" s="91" t="s">
        <v>29</v>
      </c>
      <c r="L214" s="432" t="s">
        <v>1364</v>
      </c>
      <c r="M214" s="526" t="s">
        <v>2719</v>
      </c>
      <c r="N214" s="194" t="s">
        <v>133</v>
      </c>
      <c r="O214" s="490">
        <v>0</v>
      </c>
      <c r="P214" s="193"/>
      <c r="Q214" s="193"/>
      <c r="R214" s="193"/>
      <c r="S214" s="193"/>
      <c r="T214" s="193"/>
      <c r="U214" s="193"/>
    </row>
    <row r="215" spans="1:25">
      <c r="A215" s="181" t="str">
        <f t="shared" ca="1" si="11"/>
        <v>Save Summary</v>
      </c>
      <c r="B215" s="181" t="s">
        <v>3501</v>
      </c>
      <c r="C215" s="181">
        <v>13</v>
      </c>
      <c r="D215" s="181" t="s">
        <v>2970</v>
      </c>
      <c r="F215" s="91" t="s">
        <v>1920</v>
      </c>
      <c r="G215" s="91" t="s">
        <v>2631</v>
      </c>
      <c r="H215" s="91" t="s">
        <v>220</v>
      </c>
      <c r="I215" s="91" t="s">
        <v>2632</v>
      </c>
      <c r="J215" s="91" t="s">
        <v>3563</v>
      </c>
      <c r="K215" s="91" t="s">
        <v>30</v>
      </c>
      <c r="L215" s="432" t="s">
        <v>1920</v>
      </c>
      <c r="M215" s="526" t="s">
        <v>1462</v>
      </c>
      <c r="N215" s="194" t="s">
        <v>1233</v>
      </c>
      <c r="O215" s="490">
        <v>0</v>
      </c>
      <c r="P215" s="193"/>
      <c r="Q215" s="193"/>
      <c r="R215" s="193"/>
      <c r="S215" s="193"/>
      <c r="T215" s="193"/>
      <c r="U215" s="193"/>
    </row>
    <row r="216" spans="1:25">
      <c r="A216" s="181" t="str">
        <f t="shared" ca="1" si="11"/>
        <v>Load Summary</v>
      </c>
      <c r="B216" s="181" t="s">
        <v>3501</v>
      </c>
      <c r="C216" s="181">
        <v>13</v>
      </c>
      <c r="D216" s="181" t="s">
        <v>2971</v>
      </c>
      <c r="F216" s="91" t="s">
        <v>1921</v>
      </c>
      <c r="G216" s="91" t="s">
        <v>2633</v>
      </c>
      <c r="H216" s="91" t="s">
        <v>128</v>
      </c>
      <c r="I216" s="91" t="s">
        <v>185</v>
      </c>
      <c r="J216" s="91" t="s">
        <v>2188</v>
      </c>
      <c r="K216" s="91" t="s">
        <v>1376</v>
      </c>
      <c r="L216" s="432" t="s">
        <v>1921</v>
      </c>
      <c r="M216" s="526" t="s">
        <v>1463</v>
      </c>
      <c r="N216" s="194" t="s">
        <v>96</v>
      </c>
      <c r="O216" s="490">
        <v>0</v>
      </c>
      <c r="P216" s="193"/>
      <c r="Q216" s="193"/>
      <c r="R216" s="193"/>
      <c r="S216" s="193"/>
      <c r="T216" s="193"/>
      <c r="U216" s="193"/>
    </row>
    <row r="217" spans="1:25">
      <c r="A217" s="181"/>
      <c r="F217" s="182"/>
      <c r="I217" s="182"/>
      <c r="N217" s="195"/>
      <c r="P217" s="193"/>
      <c r="Q217" s="193"/>
      <c r="R217" s="193"/>
      <c r="S217" s="193"/>
      <c r="T217" s="193"/>
      <c r="U217" s="193"/>
    </row>
    <row r="218" spans="1:25">
      <c r="A218" s="181" t="str">
        <f ca="1">OFFSET(E218,0,$E$3)</f>
        <v>PAYLOAD INPUT DATA: CofG - SI</v>
      </c>
      <c r="B218" s="91" t="s">
        <v>3501</v>
      </c>
      <c r="C218" s="181">
        <v>13</v>
      </c>
      <c r="D218" s="91" t="s">
        <v>3784</v>
      </c>
      <c r="F218" s="182" t="s">
        <v>2048</v>
      </c>
      <c r="G218" s="91" t="s">
        <v>228</v>
      </c>
      <c r="H218" s="91" t="s">
        <v>499</v>
      </c>
      <c r="I218" s="182" t="s">
        <v>1833</v>
      </c>
      <c r="J218" s="91" t="s">
        <v>2291</v>
      </c>
      <c r="K218" s="91" t="s">
        <v>31</v>
      </c>
      <c r="L218" s="433" t="s">
        <v>1837</v>
      </c>
      <c r="M218" s="526" t="s">
        <v>2720</v>
      </c>
      <c r="N218" s="195" t="s">
        <v>2044</v>
      </c>
      <c r="O218" s="490">
        <v>0</v>
      </c>
      <c r="P218" s="193"/>
      <c r="Q218" s="193"/>
      <c r="R218" s="193"/>
      <c r="S218" s="193"/>
      <c r="T218" s="193"/>
      <c r="U218" s="193"/>
    </row>
    <row r="219" spans="1:25">
      <c r="A219" s="181" t="str">
        <f ca="1">OFFSET(E219,0,$E$3)</f>
        <v>PAYLOAD INPUT DATA: CofG - PID</v>
      </c>
      <c r="B219" s="91" t="s">
        <v>3501</v>
      </c>
      <c r="C219" s="181">
        <v>13</v>
      </c>
      <c r="D219" s="91" t="s">
        <v>3136</v>
      </c>
      <c r="F219" s="182" t="s">
        <v>2642</v>
      </c>
      <c r="G219" s="91" t="s">
        <v>1038</v>
      </c>
      <c r="H219" s="91" t="s">
        <v>2050</v>
      </c>
      <c r="I219" s="182" t="s">
        <v>2735</v>
      </c>
      <c r="J219" s="91" t="s">
        <v>3717</v>
      </c>
      <c r="K219" s="91" t="s">
        <v>3479</v>
      </c>
      <c r="L219" s="433" t="s">
        <v>1410</v>
      </c>
      <c r="M219" s="526" t="s">
        <v>2721</v>
      </c>
      <c r="N219" s="195" t="s">
        <v>2045</v>
      </c>
      <c r="O219" s="490">
        <v>0</v>
      </c>
      <c r="P219" s="193"/>
      <c r="Q219" s="193"/>
      <c r="R219" s="193"/>
      <c r="S219" s="193"/>
      <c r="T219" s="193"/>
      <c r="U219" s="193"/>
    </row>
    <row r="220" spans="1:25">
      <c r="A220" s="181" t="str">
        <f ca="1">OFFSET(E220,0,$E$3)</f>
        <v>PAYLOAD INPUT DATA: Axis - SI</v>
      </c>
      <c r="B220" s="91" t="s">
        <v>3501</v>
      </c>
      <c r="C220" s="181">
        <v>13</v>
      </c>
      <c r="D220" s="91" t="s">
        <v>3785</v>
      </c>
      <c r="F220" s="91" t="s">
        <v>1386</v>
      </c>
      <c r="G220" s="91" t="s">
        <v>1989</v>
      </c>
      <c r="H220" s="91" t="s">
        <v>879</v>
      </c>
      <c r="I220" s="182" t="s">
        <v>3474</v>
      </c>
      <c r="J220" s="91" t="s">
        <v>3718</v>
      </c>
      <c r="K220" s="91" t="s">
        <v>3480</v>
      </c>
      <c r="L220" s="433" t="s">
        <v>2722</v>
      </c>
      <c r="M220" s="526" t="s">
        <v>1898</v>
      </c>
      <c r="N220" s="194" t="s">
        <v>2046</v>
      </c>
      <c r="O220" s="490">
        <v>0</v>
      </c>
      <c r="P220" s="193"/>
      <c r="Q220" s="193"/>
      <c r="R220" s="193"/>
      <c r="S220" s="193"/>
      <c r="T220" s="193"/>
      <c r="U220" s="193"/>
    </row>
    <row r="221" spans="1:25">
      <c r="A221" s="181" t="str">
        <f ca="1">OFFSET(E221,0,$E$3)</f>
        <v>PAYLOAD INPUT DATA: Axis - PID</v>
      </c>
      <c r="B221" s="91" t="s">
        <v>3501</v>
      </c>
      <c r="C221" s="181">
        <v>13</v>
      </c>
      <c r="D221" s="91" t="s">
        <v>3786</v>
      </c>
      <c r="F221" s="91" t="s">
        <v>2075</v>
      </c>
      <c r="G221" s="91" t="s">
        <v>1959</v>
      </c>
      <c r="H221" s="91" t="s">
        <v>1029</v>
      </c>
      <c r="I221" s="182" t="s">
        <v>1600</v>
      </c>
      <c r="J221" s="91" t="s">
        <v>526</v>
      </c>
      <c r="K221" s="91" t="s">
        <v>1999</v>
      </c>
      <c r="L221" s="433" t="s">
        <v>2723</v>
      </c>
      <c r="M221" s="526" t="s">
        <v>1899</v>
      </c>
      <c r="N221" s="194" t="s">
        <v>2047</v>
      </c>
      <c r="O221" s="490">
        <v>1</v>
      </c>
      <c r="P221" s="193">
        <v>5</v>
      </c>
      <c r="Q221" s="193" t="s">
        <v>2703</v>
      </c>
      <c r="R221" s="193"/>
      <c r="S221" s="193"/>
      <c r="T221" s="193"/>
      <c r="U221" s="193"/>
    </row>
    <row r="222" spans="1:25">
      <c r="A222" s="181"/>
      <c r="P222" s="193"/>
      <c r="Q222" s="193"/>
      <c r="R222" s="193"/>
      <c r="S222" s="193"/>
      <c r="T222" s="193"/>
      <c r="U222" s="193"/>
    </row>
    <row r="223" spans="1:25">
      <c r="A223" s="488" t="str">
        <f t="shared" ref="A223:A232" ca="1" si="12">OFFSET(E223,0,$E$3)</f>
        <v>Multi Payload</v>
      </c>
      <c r="B223" s="488" t="s">
        <v>3500</v>
      </c>
      <c r="C223" s="488">
        <v>19</v>
      </c>
      <c r="D223" s="490">
        <v>19</v>
      </c>
      <c r="E223" s="488"/>
      <c r="F223" s="488" t="s">
        <v>1264</v>
      </c>
      <c r="G223" s="488" t="s">
        <v>1265</v>
      </c>
      <c r="H223" s="488" t="s">
        <v>1266</v>
      </c>
      <c r="I223" s="488" t="s">
        <v>1264</v>
      </c>
      <c r="J223" s="488" t="s">
        <v>726</v>
      </c>
      <c r="K223" s="488" t="s">
        <v>1264</v>
      </c>
      <c r="L223" s="491" t="s">
        <v>3789</v>
      </c>
      <c r="M223" s="491" t="s">
        <v>3790</v>
      </c>
      <c r="N223" s="490" t="s">
        <v>3791</v>
      </c>
      <c r="O223" s="193">
        <v>0</v>
      </c>
      <c r="P223" s="193"/>
      <c r="Q223" s="193"/>
      <c r="R223" s="193"/>
      <c r="S223" s="193"/>
      <c r="T223" s="193"/>
      <c r="U223" s="193"/>
      <c r="V223" s="91"/>
      <c r="W223" s="91"/>
      <c r="X223" s="91"/>
    </row>
    <row r="224" spans="1:25">
      <c r="A224" s="488" t="str">
        <f t="shared" ca="1" si="12"/>
        <v>Multi Payload Utility</v>
      </c>
      <c r="B224" s="488" t="s">
        <v>3501</v>
      </c>
      <c r="C224" s="488">
        <v>19</v>
      </c>
      <c r="D224" s="490" t="s">
        <v>3502</v>
      </c>
      <c r="E224" s="488"/>
      <c r="F224" s="488" t="s">
        <v>3792</v>
      </c>
      <c r="G224" s="488" t="s">
        <v>3793</v>
      </c>
      <c r="H224" s="488" t="s">
        <v>3794</v>
      </c>
      <c r="I224" s="488" t="s">
        <v>3795</v>
      </c>
      <c r="J224" s="488" t="s">
        <v>2531</v>
      </c>
      <c r="K224" s="488" t="s">
        <v>3792</v>
      </c>
      <c r="L224" s="491" t="s">
        <v>2532</v>
      </c>
      <c r="M224" s="491" t="s">
        <v>2533</v>
      </c>
      <c r="N224" s="490" t="s">
        <v>2534</v>
      </c>
      <c r="O224" s="193">
        <v>0</v>
      </c>
      <c r="P224" s="193"/>
      <c r="Q224" s="193"/>
      <c r="R224" s="193"/>
      <c r="S224" s="193"/>
      <c r="T224" s="193"/>
      <c r="U224" s="193"/>
      <c r="V224" s="91"/>
      <c r="W224" s="91"/>
      <c r="X224" s="91"/>
    </row>
    <row r="225" spans="1:24">
      <c r="A225" s="488" t="str">
        <f t="shared" ca="1" si="12"/>
        <v>MULTIPLE PAYLOAD INPUT DATA</v>
      </c>
      <c r="B225" s="488" t="s">
        <v>3501</v>
      </c>
      <c r="C225" s="488">
        <v>19</v>
      </c>
      <c r="D225" s="490" t="s">
        <v>3503</v>
      </c>
      <c r="E225" s="488"/>
      <c r="F225" s="488" t="s">
        <v>2535</v>
      </c>
      <c r="G225" s="488" t="s">
        <v>2536</v>
      </c>
      <c r="H225" s="488" t="s">
        <v>2537</v>
      </c>
      <c r="I225" s="488" t="s">
        <v>3315</v>
      </c>
      <c r="J225" s="488" t="s">
        <v>3316</v>
      </c>
      <c r="K225" s="488" t="s">
        <v>2535</v>
      </c>
      <c r="L225" s="491" t="s">
        <v>3317</v>
      </c>
      <c r="M225" s="491" t="s">
        <v>3318</v>
      </c>
      <c r="N225" s="490" t="s">
        <v>2917</v>
      </c>
      <c r="O225" s="193">
        <v>0</v>
      </c>
      <c r="P225" s="193"/>
      <c r="Q225" s="193"/>
      <c r="R225" s="193"/>
      <c r="S225" s="193"/>
      <c r="T225" s="193"/>
      <c r="U225" s="193"/>
      <c r="V225" s="91"/>
      <c r="W225" s="91"/>
      <c r="X225" s="91"/>
    </row>
    <row r="226" spans="1:24">
      <c r="A226" s="488" t="str">
        <f t="shared" ca="1" si="12"/>
        <v>Part #</v>
      </c>
      <c r="B226" s="488" t="s">
        <v>3501</v>
      </c>
      <c r="C226" s="488">
        <v>19</v>
      </c>
      <c r="D226" s="490" t="s">
        <v>3504</v>
      </c>
      <c r="E226" s="488"/>
      <c r="F226" s="488" t="s">
        <v>2918</v>
      </c>
      <c r="G226" s="488" t="s">
        <v>2919</v>
      </c>
      <c r="H226" s="488" t="s">
        <v>2920</v>
      </c>
      <c r="I226" s="488" t="s">
        <v>2921</v>
      </c>
      <c r="J226" s="488" t="s">
        <v>2922</v>
      </c>
      <c r="K226" s="488" t="s">
        <v>2923</v>
      </c>
      <c r="L226" s="491" t="s">
        <v>2924</v>
      </c>
      <c r="M226" s="491" t="s">
        <v>2925</v>
      </c>
      <c r="N226" s="490" t="s">
        <v>2926</v>
      </c>
      <c r="O226" s="193">
        <v>0</v>
      </c>
      <c r="P226" s="193"/>
      <c r="Q226" s="193"/>
      <c r="R226" s="193"/>
      <c r="S226" s="193"/>
      <c r="T226" s="193"/>
      <c r="U226" s="193"/>
      <c r="V226" s="91"/>
      <c r="W226" s="91"/>
      <c r="X226" s="91"/>
    </row>
    <row r="227" spans="1:24">
      <c r="A227" s="488" t="str">
        <f t="shared" ca="1" si="12"/>
        <v>Total Load</v>
      </c>
      <c r="B227" s="488" t="s">
        <v>3501</v>
      </c>
      <c r="C227" s="488">
        <v>19</v>
      </c>
      <c r="D227" s="490" t="s">
        <v>2927</v>
      </c>
      <c r="E227" s="488"/>
      <c r="F227" s="488" t="s">
        <v>1034</v>
      </c>
      <c r="G227" s="488" t="s">
        <v>1035</v>
      </c>
      <c r="H227" s="488" t="s">
        <v>1036</v>
      </c>
      <c r="I227" s="488" t="s">
        <v>3666</v>
      </c>
      <c r="J227" s="488" t="s">
        <v>3667</v>
      </c>
      <c r="K227" s="488" t="s">
        <v>3668</v>
      </c>
      <c r="L227" s="491" t="s">
        <v>3669</v>
      </c>
      <c r="M227" s="491" t="s">
        <v>2359</v>
      </c>
      <c r="N227" s="490" t="s">
        <v>2360</v>
      </c>
      <c r="O227" s="193">
        <v>0</v>
      </c>
      <c r="P227" s="193"/>
      <c r="Q227" s="193"/>
      <c r="R227" s="193"/>
      <c r="S227" s="193"/>
      <c r="T227" s="193"/>
      <c r="U227" s="193"/>
      <c r="V227" s="91"/>
      <c r="W227" s="91"/>
      <c r="X227" s="91"/>
    </row>
    <row r="228" spans="1:24">
      <c r="A228" s="488" t="str">
        <f t="shared" ca="1" si="12"/>
        <v>Selected Input Type</v>
      </c>
      <c r="B228" s="488" t="s">
        <v>3501</v>
      </c>
      <c r="C228" s="488">
        <v>19</v>
      </c>
      <c r="D228" s="490" t="s">
        <v>2361</v>
      </c>
      <c r="E228" s="488"/>
      <c r="F228" s="488" t="s">
        <v>2766</v>
      </c>
      <c r="G228" s="488" t="s">
        <v>1840</v>
      </c>
      <c r="H228" s="488" t="s">
        <v>2767</v>
      </c>
      <c r="I228" s="488" t="s">
        <v>3306</v>
      </c>
      <c r="J228" s="488" t="s">
        <v>3307</v>
      </c>
      <c r="K228" s="488" t="s">
        <v>2605</v>
      </c>
      <c r="L228" s="491" t="s">
        <v>2606</v>
      </c>
      <c r="M228" s="491" t="s">
        <v>2607</v>
      </c>
      <c r="N228" s="490" t="s">
        <v>2608</v>
      </c>
      <c r="O228" s="193">
        <v>0</v>
      </c>
      <c r="P228" s="193"/>
      <c r="Q228" s="193"/>
      <c r="R228" s="193"/>
      <c r="S228" s="193"/>
      <c r="T228" s="193"/>
      <c r="U228" s="193"/>
      <c r="V228" s="91"/>
      <c r="W228" s="91"/>
      <c r="X228" s="91"/>
    </row>
    <row r="229" spans="1:24">
      <c r="A229" s="488" t="str">
        <f t="shared" ca="1" si="12"/>
        <v>Name</v>
      </c>
      <c r="B229" s="488" t="s">
        <v>3501</v>
      </c>
      <c r="C229" s="488">
        <v>19</v>
      </c>
      <c r="D229" s="490" t="s">
        <v>1874</v>
      </c>
      <c r="E229" s="488"/>
      <c r="F229" s="488" t="s">
        <v>2609</v>
      </c>
      <c r="G229" s="488" t="s">
        <v>2610</v>
      </c>
      <c r="H229" s="488" t="s">
        <v>2609</v>
      </c>
      <c r="I229" s="488" t="s">
        <v>2611</v>
      </c>
      <c r="J229" s="488" t="s">
        <v>4</v>
      </c>
      <c r="K229" s="488" t="s">
        <v>5</v>
      </c>
      <c r="L229" s="491" t="s">
        <v>6</v>
      </c>
      <c r="M229" s="491" t="s">
        <v>7</v>
      </c>
      <c r="N229" s="490" t="s">
        <v>1539</v>
      </c>
      <c r="O229" s="193">
        <v>0</v>
      </c>
      <c r="P229" s="193"/>
      <c r="Q229" s="193"/>
      <c r="R229" s="193"/>
      <c r="S229" s="193"/>
      <c r="T229" s="193"/>
      <c r="U229" s="193"/>
      <c r="V229" s="91"/>
      <c r="W229" s="91"/>
      <c r="X229" s="91"/>
    </row>
    <row r="230" spans="1:24" s="617" customFormat="1">
      <c r="A230" s="613" t="str">
        <f t="shared" ca="1" si="12"/>
        <v>Color</v>
      </c>
      <c r="B230" s="613" t="s">
        <v>1256</v>
      </c>
      <c r="C230" s="613">
        <v>19</v>
      </c>
      <c r="D230" s="614" t="s">
        <v>1257</v>
      </c>
      <c r="E230" s="613"/>
      <c r="F230" s="613" t="s">
        <v>3688</v>
      </c>
      <c r="G230" s="613" t="s">
        <v>3690</v>
      </c>
      <c r="H230" s="613" t="s">
        <v>3691</v>
      </c>
      <c r="I230" s="613" t="s">
        <v>3688</v>
      </c>
      <c r="J230" s="613" t="s">
        <v>3692</v>
      </c>
      <c r="K230" s="613" t="s">
        <v>3693</v>
      </c>
      <c r="L230" s="615" t="s">
        <v>3694</v>
      </c>
      <c r="M230" s="615" t="s">
        <v>3695</v>
      </c>
      <c r="N230" s="614" t="s">
        <v>3696</v>
      </c>
      <c r="O230" s="616">
        <v>0</v>
      </c>
      <c r="P230" s="616"/>
      <c r="Q230" s="616"/>
      <c r="R230" s="616"/>
      <c r="S230" s="616"/>
      <c r="T230" s="616"/>
      <c r="U230" s="616"/>
    </row>
    <row r="231" spans="1:24">
      <c r="A231" s="488" t="str">
        <f t="shared" ca="1" si="12"/>
        <v>ex. 4 components</v>
      </c>
      <c r="B231" s="488" t="s">
        <v>3501</v>
      </c>
      <c r="C231" s="488">
        <v>19</v>
      </c>
      <c r="D231" s="614" t="s">
        <v>1344</v>
      </c>
      <c r="E231" s="488"/>
      <c r="F231" s="488" t="s">
        <v>1540</v>
      </c>
      <c r="G231" s="488" t="s">
        <v>2829</v>
      </c>
      <c r="H231" s="488" t="s">
        <v>2830</v>
      </c>
      <c r="I231" s="488" t="s">
        <v>2831</v>
      </c>
      <c r="J231" s="488" t="s">
        <v>2832</v>
      </c>
      <c r="K231" s="488" t="s">
        <v>2833</v>
      </c>
      <c r="L231" s="491" t="s">
        <v>2834</v>
      </c>
      <c r="M231" s="491" t="s">
        <v>2835</v>
      </c>
      <c r="N231" s="490" t="s">
        <v>2836</v>
      </c>
      <c r="O231" s="193">
        <v>0</v>
      </c>
      <c r="P231" s="193"/>
      <c r="Q231" s="193"/>
      <c r="R231" s="193"/>
      <c r="S231" s="193"/>
      <c r="T231" s="193"/>
      <c r="U231" s="193"/>
      <c r="V231" s="91"/>
      <c r="W231" s="91"/>
      <c r="X231" s="91"/>
    </row>
    <row r="232" spans="1:24" s="617" customFormat="1">
      <c r="A232" s="613" t="str">
        <f t="shared" ca="1" si="12"/>
        <v>Load Overview</v>
      </c>
      <c r="B232" s="613" t="s">
        <v>1343</v>
      </c>
      <c r="C232" s="613">
        <v>19</v>
      </c>
      <c r="D232" s="614" t="s">
        <v>1255</v>
      </c>
      <c r="E232" s="613"/>
      <c r="F232" s="613" t="s">
        <v>3689</v>
      </c>
      <c r="G232" s="613" t="s">
        <v>3697</v>
      </c>
      <c r="H232" s="613" t="s">
        <v>3698</v>
      </c>
      <c r="I232" s="613" t="s">
        <v>3699</v>
      </c>
      <c r="J232" s="613" t="s">
        <v>3700</v>
      </c>
      <c r="K232" s="613" t="s">
        <v>3701</v>
      </c>
      <c r="L232" s="615" t="s">
        <v>3702</v>
      </c>
      <c r="M232" s="615" t="s">
        <v>3703</v>
      </c>
      <c r="N232" s="614" t="s">
        <v>3704</v>
      </c>
      <c r="O232" s="616">
        <v>0</v>
      </c>
      <c r="P232" s="616"/>
      <c r="Q232" s="616"/>
      <c r="R232" s="616"/>
      <c r="S232" s="616"/>
      <c r="T232" s="616"/>
      <c r="U232" s="616"/>
    </row>
    <row r="233" spans="1:24">
      <c r="A233" s="488"/>
      <c r="B233" s="488"/>
      <c r="C233" s="488"/>
      <c r="D233" s="490"/>
      <c r="E233" s="488"/>
      <c r="F233" s="488"/>
      <c r="G233" s="488"/>
      <c r="H233" s="488"/>
      <c r="I233" s="488"/>
      <c r="J233" s="488"/>
      <c r="K233" s="488"/>
      <c r="L233" s="491"/>
      <c r="M233" s="491"/>
      <c r="N233" s="490"/>
      <c r="O233" s="193"/>
      <c r="P233" s="193"/>
      <c r="Q233" s="193"/>
      <c r="R233" s="193"/>
      <c r="S233" s="193"/>
      <c r="T233" s="193"/>
      <c r="U233" s="193"/>
      <c r="V233" s="91"/>
      <c r="W233" s="91"/>
      <c r="X233" s="91"/>
    </row>
    <row r="234" spans="1:24">
      <c r="A234" s="488" t="str">
        <f t="shared" ref="A234:A239" ca="1" si="13">OFFSET(E234,0,$E$3)</f>
        <v>Summary_Multi Payload</v>
      </c>
      <c r="B234" s="488" t="s">
        <v>3500</v>
      </c>
      <c r="C234" s="488">
        <v>20</v>
      </c>
      <c r="D234" s="490">
        <v>20</v>
      </c>
      <c r="E234" s="488"/>
      <c r="F234" s="488" t="s">
        <v>2837</v>
      </c>
      <c r="G234" s="488" t="s">
        <v>1841</v>
      </c>
      <c r="H234" s="488" t="s">
        <v>2838</v>
      </c>
      <c r="I234" s="488" t="s">
        <v>2839</v>
      </c>
      <c r="J234" s="488" t="s">
        <v>1842</v>
      </c>
      <c r="K234" s="488" t="s">
        <v>2840</v>
      </c>
      <c r="L234" s="491" t="s">
        <v>2841</v>
      </c>
      <c r="M234" s="491" t="s">
        <v>2842</v>
      </c>
      <c r="N234" s="490" t="s">
        <v>3408</v>
      </c>
      <c r="O234" s="193">
        <v>0</v>
      </c>
      <c r="P234" s="193"/>
      <c r="Q234" s="193"/>
      <c r="R234" s="193"/>
      <c r="S234" s="193"/>
      <c r="T234" s="193"/>
      <c r="U234" s="193"/>
      <c r="V234" s="91"/>
      <c r="W234" s="91"/>
      <c r="X234" s="91"/>
    </row>
    <row r="235" spans="1:24">
      <c r="A235" s="488" t="str">
        <f t="shared" ca="1" si="13"/>
        <v>Multi Payload Summary</v>
      </c>
      <c r="B235" s="488" t="s">
        <v>3501</v>
      </c>
      <c r="C235" s="488">
        <v>20</v>
      </c>
      <c r="D235" s="490" t="s">
        <v>3502</v>
      </c>
      <c r="E235" s="488"/>
      <c r="F235" s="488" t="s">
        <v>2768</v>
      </c>
      <c r="G235" s="488" t="s">
        <v>2769</v>
      </c>
      <c r="H235" s="488" t="s">
        <v>2663</v>
      </c>
      <c r="I235" s="488" t="s">
        <v>2664</v>
      </c>
      <c r="J235" s="488" t="s">
        <v>2665</v>
      </c>
      <c r="K235" s="488" t="s">
        <v>2666</v>
      </c>
      <c r="L235" s="491" t="s">
        <v>2841</v>
      </c>
      <c r="M235" s="491" t="s">
        <v>2667</v>
      </c>
      <c r="N235" s="490" t="s">
        <v>2668</v>
      </c>
      <c r="O235" s="193">
        <v>0</v>
      </c>
      <c r="P235" s="193"/>
      <c r="Q235" s="193"/>
      <c r="R235" s="193"/>
      <c r="S235" s="193"/>
      <c r="T235" s="193"/>
      <c r="U235" s="193"/>
      <c r="V235" s="91"/>
      <c r="W235" s="91"/>
      <c r="X235" s="91"/>
    </row>
    <row r="236" spans="1:24">
      <c r="A236" s="488" t="str">
        <f t="shared" ca="1" si="13"/>
        <v>Input Type</v>
      </c>
      <c r="B236" s="488" t="s">
        <v>3501</v>
      </c>
      <c r="C236" s="488">
        <v>20</v>
      </c>
      <c r="D236" s="490" t="s">
        <v>2669</v>
      </c>
      <c r="E236" s="488"/>
      <c r="F236" s="488" t="s">
        <v>1465</v>
      </c>
      <c r="G236" s="488" t="s">
        <v>2670</v>
      </c>
      <c r="H236" s="488" t="s">
        <v>2671</v>
      </c>
      <c r="I236" s="488" t="s">
        <v>2672</v>
      </c>
      <c r="J236" s="488" t="s">
        <v>3409</v>
      </c>
      <c r="K236" s="488" t="s">
        <v>3410</v>
      </c>
      <c r="L236" s="491" t="s">
        <v>3659</v>
      </c>
      <c r="M236" s="491" t="s">
        <v>3660</v>
      </c>
      <c r="N236" s="490" t="s">
        <v>3661</v>
      </c>
      <c r="O236" s="193">
        <v>0</v>
      </c>
      <c r="P236" s="193"/>
      <c r="Q236" s="193"/>
      <c r="R236" s="193"/>
      <c r="S236" s="193"/>
      <c r="T236" s="193"/>
      <c r="U236" s="193"/>
      <c r="V236" s="91"/>
      <c r="W236" s="91"/>
      <c r="X236" s="91"/>
    </row>
    <row r="237" spans="1:24">
      <c r="A237" s="488" t="str">
        <f t="shared" ca="1" si="13"/>
        <v>Part #</v>
      </c>
      <c r="B237" s="488" t="s">
        <v>3501</v>
      </c>
      <c r="C237" s="488">
        <v>20</v>
      </c>
      <c r="D237" s="490" t="s">
        <v>3662</v>
      </c>
      <c r="E237" s="488"/>
      <c r="F237" s="488" t="s">
        <v>2918</v>
      </c>
      <c r="G237" s="488" t="s">
        <v>2919</v>
      </c>
      <c r="H237" s="488" t="s">
        <v>2920</v>
      </c>
      <c r="I237" s="488" t="s">
        <v>2921</v>
      </c>
      <c r="J237" s="488" t="s">
        <v>2922</v>
      </c>
      <c r="K237" s="488" t="s">
        <v>2923</v>
      </c>
      <c r="L237" s="491" t="s">
        <v>2924</v>
      </c>
      <c r="M237" s="491" t="s">
        <v>2925</v>
      </c>
      <c r="N237" s="490" t="s">
        <v>2106</v>
      </c>
      <c r="O237" s="193">
        <v>0</v>
      </c>
      <c r="P237" s="193"/>
      <c r="Q237" s="193"/>
      <c r="R237" s="193"/>
      <c r="S237" s="193"/>
      <c r="T237" s="193"/>
      <c r="U237" s="193"/>
      <c r="V237" s="91"/>
      <c r="W237" s="91"/>
      <c r="X237" s="91"/>
    </row>
    <row r="238" spans="1:24">
      <c r="A238" s="488" t="str">
        <f t="shared" ca="1" si="13"/>
        <v>Total Load</v>
      </c>
      <c r="B238" s="488" t="s">
        <v>3501</v>
      </c>
      <c r="C238" s="488">
        <v>20</v>
      </c>
      <c r="D238" s="490" t="s">
        <v>1110</v>
      </c>
      <c r="E238" s="488"/>
      <c r="F238" s="488" t="s">
        <v>1034</v>
      </c>
      <c r="G238" s="488" t="s">
        <v>1035</v>
      </c>
      <c r="H238" s="488" t="s">
        <v>1036</v>
      </c>
      <c r="I238" s="488" t="s">
        <v>3666</v>
      </c>
      <c r="J238" s="488" t="s">
        <v>3667</v>
      </c>
      <c r="K238" s="488" t="s">
        <v>3668</v>
      </c>
      <c r="L238" s="491" t="s">
        <v>3669</v>
      </c>
      <c r="M238" s="491" t="s">
        <v>2359</v>
      </c>
      <c r="N238" s="490" t="s">
        <v>2114</v>
      </c>
      <c r="O238" s="193">
        <v>0</v>
      </c>
      <c r="P238" s="193"/>
      <c r="Q238" s="193"/>
      <c r="R238" s="193"/>
      <c r="S238" s="193"/>
      <c r="T238" s="193"/>
      <c r="U238" s="193"/>
      <c r="V238" s="91"/>
      <c r="W238" s="91"/>
      <c r="X238" s="91"/>
    </row>
    <row r="239" spans="1:24">
      <c r="A239" s="488" t="str">
        <f t="shared" ca="1" si="13"/>
        <v>Name</v>
      </c>
      <c r="B239" s="488" t="s">
        <v>3501</v>
      </c>
      <c r="C239" s="488">
        <v>20</v>
      </c>
      <c r="D239" s="490" t="s">
        <v>1838</v>
      </c>
      <c r="E239" s="488"/>
      <c r="F239" s="488" t="s">
        <v>2609</v>
      </c>
      <c r="G239" s="488" t="s">
        <v>2610</v>
      </c>
      <c r="H239" s="488" t="s">
        <v>2609</v>
      </c>
      <c r="I239" s="488" t="s">
        <v>2611</v>
      </c>
      <c r="J239" s="488" t="s">
        <v>4</v>
      </c>
      <c r="K239" s="488" t="s">
        <v>5</v>
      </c>
      <c r="L239" s="491" t="s">
        <v>6</v>
      </c>
      <c r="M239" s="491" t="s">
        <v>7</v>
      </c>
      <c r="N239" s="490" t="s">
        <v>1839</v>
      </c>
      <c r="O239" s="193">
        <v>0</v>
      </c>
      <c r="P239" s="193"/>
      <c r="Q239" s="193"/>
      <c r="R239" s="193"/>
      <c r="S239" s="193"/>
      <c r="T239" s="193"/>
      <c r="U239" s="193"/>
      <c r="V239" s="91"/>
      <c r="W239" s="91"/>
      <c r="X239" s="91"/>
    </row>
    <row r="240" spans="1:24">
      <c r="A240" s="612" t="s">
        <v>1258</v>
      </c>
      <c r="B240" s="488"/>
      <c r="C240" s="488"/>
      <c r="D240" s="490"/>
      <c r="E240" s="488"/>
      <c r="F240" s="488"/>
      <c r="G240" s="488"/>
      <c r="H240" s="488"/>
      <c r="I240" s="488"/>
      <c r="J240" s="488"/>
      <c r="K240" s="488"/>
      <c r="L240" s="491"/>
      <c r="M240" s="491"/>
      <c r="N240" s="490"/>
      <c r="O240" s="193"/>
      <c r="P240" s="193"/>
      <c r="Q240" s="193"/>
      <c r="R240" s="193"/>
      <c r="S240" s="193"/>
      <c r="T240" s="193"/>
      <c r="U240" s="193"/>
      <c r="V240" s="91"/>
      <c r="W240" s="91"/>
      <c r="X240" s="91"/>
    </row>
    <row r="242" spans="1:24" ht="25.5">
      <c r="A242" s="488" t="str">
        <f ca="1">OFFSET(E242,0,$E$3)</f>
        <v>Box type can be used only on the Multi Payload sheet</v>
      </c>
      <c r="B242" s="488"/>
      <c r="C242" s="488"/>
      <c r="D242" s="488"/>
      <c r="E242" s="488"/>
      <c r="F242" s="492" t="s">
        <v>2745</v>
      </c>
      <c r="G242" s="492" t="s">
        <v>1246</v>
      </c>
      <c r="H242" s="492" t="s">
        <v>2506</v>
      </c>
      <c r="I242" s="492" t="s">
        <v>1521</v>
      </c>
      <c r="J242" s="492" t="s">
        <v>841</v>
      </c>
      <c r="K242" s="492" t="s">
        <v>3342</v>
      </c>
      <c r="L242" s="493" t="s">
        <v>2207</v>
      </c>
      <c r="M242" s="493" t="s">
        <v>3228</v>
      </c>
      <c r="N242" s="494" t="s">
        <v>1133</v>
      </c>
      <c r="O242" s="195"/>
      <c r="P242" s="195"/>
      <c r="Q242" s="195"/>
      <c r="R242" s="195"/>
      <c r="S242" s="195"/>
      <c r="T242" s="195"/>
      <c r="U242" s="195"/>
      <c r="V242" s="91"/>
      <c r="W242" s="91"/>
      <c r="X242" s="91"/>
    </row>
    <row r="243" spans="1:24" ht="30">
      <c r="A243" s="488" t="str">
        <f ca="1">OFFSET(E243,0,$E$3)</f>
        <v>This function can be used only when the CofG-SI or Box of input type is selected</v>
      </c>
      <c r="B243" s="488"/>
      <c r="C243" s="488"/>
      <c r="D243" s="488"/>
      <c r="E243" s="488"/>
      <c r="F243" s="492" t="s">
        <v>1134</v>
      </c>
      <c r="G243" s="492" t="s">
        <v>1072</v>
      </c>
      <c r="H243" s="492" t="s">
        <v>2400</v>
      </c>
      <c r="I243" s="492" t="s">
        <v>880</v>
      </c>
      <c r="J243" s="492" t="s">
        <v>1864</v>
      </c>
      <c r="K243" s="492" t="s">
        <v>3043</v>
      </c>
      <c r="L243" s="493" t="s">
        <v>481</v>
      </c>
      <c r="M243" s="493" t="s">
        <v>482</v>
      </c>
      <c r="N243" s="494" t="s">
        <v>483</v>
      </c>
      <c r="O243" s="195"/>
      <c r="P243" s="195"/>
      <c r="Q243" s="195"/>
      <c r="R243" s="195"/>
      <c r="S243" s="195"/>
      <c r="T243" s="195"/>
      <c r="U243" s="195"/>
      <c r="V243" s="91"/>
      <c r="W243" s="91"/>
      <c r="X243" s="91"/>
    </row>
    <row r="244" spans="1:24" ht="25.5">
      <c r="A244" s="488" t="str">
        <f ca="1">OFFSET(E244,0,$E$3)</f>
        <v>Input type of selected data is not correct</v>
      </c>
      <c r="B244" s="488"/>
      <c r="C244" s="488"/>
      <c r="D244" s="488"/>
      <c r="E244" s="488"/>
      <c r="F244" s="492" t="s">
        <v>484</v>
      </c>
      <c r="G244" s="492" t="s">
        <v>727</v>
      </c>
      <c r="H244" s="492" t="s">
        <v>728</v>
      </c>
      <c r="I244" s="492" t="s">
        <v>729</v>
      </c>
      <c r="J244" s="492" t="s">
        <v>730</v>
      </c>
      <c r="K244" s="492" t="s">
        <v>731</v>
      </c>
      <c r="L244" s="493" t="s">
        <v>732</v>
      </c>
      <c r="M244" s="493" t="s">
        <v>733</v>
      </c>
      <c r="N244" s="494" t="s">
        <v>734</v>
      </c>
      <c r="O244" s="195"/>
      <c r="P244" s="195"/>
      <c r="Q244" s="195"/>
      <c r="R244" s="195"/>
      <c r="S244" s="195"/>
      <c r="T244" s="195"/>
      <c r="U244" s="195"/>
      <c r="V244" s="91"/>
      <c r="W244" s="91"/>
      <c r="X244" s="91"/>
    </row>
    <row r="245" spans="1:24" ht="30">
      <c r="A245" s="488" t="str">
        <f ca="1">OFFSET(E245,0,$E$3)</f>
        <v>This function can be used when CofG-SI Input Type is selected</v>
      </c>
      <c r="B245" s="488"/>
      <c r="C245" s="488"/>
      <c r="D245" s="488"/>
      <c r="E245" s="488"/>
      <c r="F245" s="492" t="s">
        <v>601</v>
      </c>
      <c r="G245" s="492" t="s">
        <v>602</v>
      </c>
      <c r="H245" s="492" t="s">
        <v>603</v>
      </c>
      <c r="I245" s="492" t="s">
        <v>604</v>
      </c>
      <c r="J245" s="492" t="s">
        <v>2893</v>
      </c>
      <c r="K245" s="492" t="s">
        <v>2894</v>
      </c>
      <c r="L245" s="493" t="s">
        <v>2543</v>
      </c>
      <c r="M245" s="493" t="s">
        <v>2544</v>
      </c>
      <c r="N245" s="494" t="s">
        <v>2545</v>
      </c>
      <c r="O245" s="195"/>
      <c r="P245" s="195"/>
      <c r="Q245" s="195"/>
      <c r="R245" s="195"/>
      <c r="S245" s="195"/>
      <c r="T245" s="195"/>
      <c r="U245" s="195"/>
      <c r="V245" s="91"/>
      <c r="W245" s="91"/>
      <c r="X245" s="91"/>
    </row>
    <row r="246" spans="1:24" ht="38.25">
      <c r="A246" s="488" t="str">
        <f ca="1">OFFSET(E246,0,$E$3)</f>
        <v xml:space="preserve">Multi Payload Utility can be used only when the CofG-SI or Box of input type is selected. </v>
      </c>
      <c r="B246" s="488"/>
      <c r="C246" s="488"/>
      <c r="D246" s="488"/>
      <c r="E246" s="488"/>
      <c r="F246" s="492" t="s">
        <v>2312</v>
      </c>
      <c r="G246" s="492" t="s">
        <v>411</v>
      </c>
      <c r="H246" s="492" t="s">
        <v>412</v>
      </c>
      <c r="I246" s="492" t="s">
        <v>564</v>
      </c>
      <c r="J246" s="492" t="s">
        <v>565</v>
      </c>
      <c r="K246" s="492" t="s">
        <v>3271</v>
      </c>
      <c r="L246" s="493" t="s">
        <v>3272</v>
      </c>
      <c r="M246" s="493" t="s">
        <v>686</v>
      </c>
      <c r="N246" s="494" t="s">
        <v>2244</v>
      </c>
      <c r="O246" s="195"/>
      <c r="P246" s="195"/>
      <c r="Q246" s="195"/>
      <c r="R246" s="195"/>
      <c r="S246" s="195"/>
      <c r="T246" s="195"/>
      <c r="U246" s="195"/>
      <c r="V246" s="91"/>
      <c r="W246" s="91"/>
      <c r="X246" s="9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T338"/>
  <sheetViews>
    <sheetView topLeftCell="N1" workbookViewId="0">
      <selection activeCell="Q118" sqref="Q118"/>
    </sheetView>
  </sheetViews>
  <sheetFormatPr baseColWidth="10"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84">
        <v>12</v>
      </c>
      <c r="D1" s="189" t="s">
        <v>2041</v>
      </c>
      <c r="K1" t="s">
        <v>2104</v>
      </c>
      <c r="N1" s="328" t="s">
        <v>3485</v>
      </c>
    </row>
    <row r="2" spans="1:20">
      <c r="E2" t="s">
        <v>2742</v>
      </c>
      <c r="K2" t="s">
        <v>2849</v>
      </c>
      <c r="N2" t="s">
        <v>2380</v>
      </c>
    </row>
    <row r="3" spans="1:20">
      <c r="A3" s="198" t="s">
        <v>2200</v>
      </c>
      <c r="E3" t="s">
        <v>1800</v>
      </c>
      <c r="H3" t="s">
        <v>3564</v>
      </c>
    </row>
    <row r="4" spans="1:20">
      <c r="A4" s="198" t="s">
        <v>2201</v>
      </c>
      <c r="C4" t="s">
        <v>1517</v>
      </c>
      <c r="D4" t="str">
        <f xml:space="preserve"> IF( B1&gt;0, INDEX(E4:P4,1,B1), " ")</f>
        <v>ALL</v>
      </c>
      <c r="E4" s="189" t="s">
        <v>1518</v>
      </c>
      <c r="F4" s="189" t="s">
        <v>975</v>
      </c>
      <c r="G4" s="189" t="s">
        <v>976</v>
      </c>
      <c r="H4" s="189" t="s">
        <v>3037</v>
      </c>
      <c r="I4" s="189"/>
      <c r="J4" s="189"/>
      <c r="K4" s="189"/>
      <c r="L4" s="189"/>
      <c r="M4" s="189"/>
      <c r="N4" s="189"/>
      <c r="O4" s="189"/>
      <c r="P4" s="189" t="s">
        <v>1093</v>
      </c>
    </row>
    <row r="5" spans="1:20">
      <c r="A5" s="198" t="s">
        <v>458</v>
      </c>
    </row>
    <row r="6" spans="1:20">
      <c r="A6" s="198" t="s">
        <v>459</v>
      </c>
      <c r="B6" t="s">
        <v>3116</v>
      </c>
      <c r="C6" t="s">
        <v>2205</v>
      </c>
      <c r="D6" t="s">
        <v>1988</v>
      </c>
      <c r="E6" s="199">
        <v>1</v>
      </c>
      <c r="F6" s="199">
        <v>2</v>
      </c>
      <c r="G6" s="199">
        <v>3</v>
      </c>
      <c r="H6" s="199">
        <v>4</v>
      </c>
      <c r="I6" s="199">
        <v>5</v>
      </c>
      <c r="J6" s="199">
        <v>6</v>
      </c>
      <c r="K6" s="199">
        <v>7</v>
      </c>
      <c r="L6" s="199">
        <v>8</v>
      </c>
      <c r="M6" s="199">
        <v>9</v>
      </c>
      <c r="N6" s="199">
        <v>10</v>
      </c>
      <c r="O6" s="199">
        <v>11</v>
      </c>
      <c r="P6" s="200">
        <v>12</v>
      </c>
      <c r="S6" t="s">
        <v>1826</v>
      </c>
      <c r="T6" t="s">
        <v>1619</v>
      </c>
    </row>
    <row r="7" spans="1:20">
      <c r="E7" s="185">
        <v>101</v>
      </c>
      <c r="F7" s="185">
        <v>101</v>
      </c>
      <c r="G7">
        <v>101</v>
      </c>
      <c r="H7">
        <v>101</v>
      </c>
      <c r="P7">
        <v>10133</v>
      </c>
      <c r="Q7" t="s">
        <v>1157</v>
      </c>
    </row>
    <row r="8" spans="1:20">
      <c r="E8" s="185">
        <v>102</v>
      </c>
      <c r="F8" s="185">
        <v>102</v>
      </c>
      <c r="G8">
        <v>102</v>
      </c>
      <c r="H8">
        <v>102</v>
      </c>
      <c r="P8">
        <v>10153</v>
      </c>
      <c r="Q8" t="s">
        <v>334</v>
      </c>
    </row>
    <row r="9" spans="1:20">
      <c r="E9" s="185">
        <v>109</v>
      </c>
      <c r="F9" s="185">
        <v>105</v>
      </c>
      <c r="G9">
        <v>109</v>
      </c>
      <c r="H9">
        <v>109</v>
      </c>
      <c r="P9" s="421">
        <v>118</v>
      </c>
      <c r="Q9" t="s">
        <v>1971</v>
      </c>
    </row>
    <row r="10" spans="1:20">
      <c r="E10" s="185">
        <v>111</v>
      </c>
      <c r="F10" s="185">
        <v>109</v>
      </c>
      <c r="G10">
        <v>110</v>
      </c>
      <c r="H10">
        <v>110</v>
      </c>
      <c r="P10">
        <v>10041</v>
      </c>
      <c r="Q10" t="s">
        <v>978</v>
      </c>
    </row>
    <row r="11" spans="1:20">
      <c r="E11" s="185">
        <v>106</v>
      </c>
      <c r="F11" s="185">
        <v>111</v>
      </c>
      <c r="G11">
        <v>111</v>
      </c>
      <c r="P11" s="421">
        <v>10043</v>
      </c>
      <c r="Q11" t="s">
        <v>3452</v>
      </c>
    </row>
    <row r="12" spans="1:20">
      <c r="E12" s="185">
        <v>107</v>
      </c>
      <c r="F12" s="185">
        <v>106</v>
      </c>
      <c r="G12">
        <v>106</v>
      </c>
      <c r="P12">
        <v>10044</v>
      </c>
      <c r="Q12" t="s">
        <v>2643</v>
      </c>
    </row>
    <row r="13" spans="1:20">
      <c r="E13" s="186">
        <v>26</v>
      </c>
      <c r="F13" s="185">
        <v>107</v>
      </c>
      <c r="G13">
        <v>107</v>
      </c>
      <c r="P13">
        <v>10058</v>
      </c>
      <c r="Q13" t="s">
        <v>3137</v>
      </c>
    </row>
    <row r="14" spans="1:20">
      <c r="E14" s="186">
        <v>27</v>
      </c>
      <c r="F14" s="185">
        <v>15</v>
      </c>
      <c r="G14">
        <v>108</v>
      </c>
      <c r="P14" s="421">
        <v>10171</v>
      </c>
      <c r="Q14" t="s">
        <v>2261</v>
      </c>
    </row>
    <row r="15" spans="1:20">
      <c r="E15" s="186">
        <v>28</v>
      </c>
      <c r="F15" s="185">
        <v>16</v>
      </c>
      <c r="P15">
        <v>10172</v>
      </c>
      <c r="Q15" t="s">
        <v>980</v>
      </c>
    </row>
    <row r="16" spans="1:20">
      <c r="E16" s="186">
        <v>30</v>
      </c>
      <c r="F16" s="185">
        <v>17</v>
      </c>
      <c r="P16">
        <v>10119</v>
      </c>
      <c r="Q16" t="s">
        <v>2724</v>
      </c>
    </row>
    <row r="17" spans="5:17">
      <c r="E17" s="186">
        <v>32</v>
      </c>
      <c r="F17" s="185">
        <v>18</v>
      </c>
      <c r="P17" s="421">
        <v>10175</v>
      </c>
      <c r="Q17" t="s">
        <v>278</v>
      </c>
    </row>
    <row r="18" spans="5:17">
      <c r="E18" s="185">
        <v>36</v>
      </c>
      <c r="F18" s="185">
        <v>19</v>
      </c>
      <c r="P18">
        <v>10169</v>
      </c>
      <c r="Q18" t="s">
        <v>3728</v>
      </c>
    </row>
    <row r="19" spans="5:17">
      <c r="E19" s="185">
        <v>37</v>
      </c>
      <c r="F19" s="185">
        <v>36</v>
      </c>
      <c r="P19" s="421">
        <v>10170</v>
      </c>
      <c r="Q19" t="s">
        <v>1217</v>
      </c>
    </row>
    <row r="20" spans="5:17">
      <c r="E20" s="185">
        <v>15</v>
      </c>
      <c r="F20" s="185">
        <v>37</v>
      </c>
      <c r="P20">
        <v>10180</v>
      </c>
      <c r="Q20" t="s">
        <v>56</v>
      </c>
    </row>
    <row r="21" spans="5:17">
      <c r="E21" s="185">
        <v>16</v>
      </c>
      <c r="F21" s="186">
        <v>112</v>
      </c>
      <c r="P21" s="421">
        <v>10181</v>
      </c>
      <c r="Q21" t="s">
        <v>2220</v>
      </c>
    </row>
    <row r="22" spans="5:17">
      <c r="E22" s="185">
        <v>17</v>
      </c>
      <c r="F22" s="186">
        <v>113</v>
      </c>
      <c r="P22" s="421">
        <v>10059</v>
      </c>
      <c r="Q22" t="s">
        <v>635</v>
      </c>
    </row>
    <row r="23" spans="5:17">
      <c r="E23" s="185">
        <v>18</v>
      </c>
      <c r="F23" s="186">
        <v>114</v>
      </c>
      <c r="P23" s="421">
        <v>10174</v>
      </c>
      <c r="Q23" t="s">
        <v>106</v>
      </c>
    </row>
    <row r="24" spans="5:17">
      <c r="E24" s="185">
        <v>19</v>
      </c>
      <c r="F24" s="183"/>
      <c r="P24" s="421">
        <v>10177</v>
      </c>
      <c r="Q24" t="s">
        <v>2801</v>
      </c>
    </row>
    <row r="25" spans="5:17">
      <c r="E25" s="185">
        <v>1</v>
      </c>
      <c r="P25">
        <v>10178</v>
      </c>
      <c r="Q25" t="s">
        <v>3568</v>
      </c>
    </row>
    <row r="26" spans="5:17">
      <c r="P26" s="421">
        <v>10208</v>
      </c>
      <c r="Q26" t="s">
        <v>382</v>
      </c>
    </row>
    <row r="27" spans="5:17">
      <c r="P27" s="421">
        <v>10209</v>
      </c>
      <c r="Q27" t="s">
        <v>3816</v>
      </c>
    </row>
    <row r="28" spans="5:17">
      <c r="P28">
        <v>10120</v>
      </c>
      <c r="Q28" t="s">
        <v>2694</v>
      </c>
    </row>
    <row r="29" spans="5:17">
      <c r="P29" s="421">
        <v>10198</v>
      </c>
      <c r="Q29" t="s">
        <v>2783</v>
      </c>
    </row>
    <row r="30" spans="5:17">
      <c r="P30">
        <v>10195</v>
      </c>
      <c r="Q30" t="s">
        <v>49</v>
      </c>
    </row>
    <row r="31" spans="5:17">
      <c r="P31" s="421">
        <v>10122</v>
      </c>
      <c r="Q31" t="s">
        <v>576</v>
      </c>
    </row>
    <row r="32" spans="5:17">
      <c r="P32" s="421">
        <v>10197</v>
      </c>
      <c r="Q32" t="s">
        <v>3641</v>
      </c>
    </row>
    <row r="33" spans="16:17">
      <c r="P33" s="421">
        <v>119</v>
      </c>
      <c r="Q33" t="s">
        <v>2456</v>
      </c>
    </row>
    <row r="34" spans="16:17">
      <c r="P34" s="421">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s="421">
        <v>10218</v>
      </c>
      <c r="Q46" t="s">
        <v>3670</v>
      </c>
    </row>
    <row r="47" spans="16:17">
      <c r="P47" s="421">
        <v>46</v>
      </c>
      <c r="Q47" t="s">
        <v>797</v>
      </c>
    </row>
    <row r="48" spans="16:17">
      <c r="P48">
        <v>44</v>
      </c>
      <c r="Q48" t="s">
        <v>160</v>
      </c>
    </row>
    <row r="49" spans="16:17">
      <c r="P49">
        <v>45</v>
      </c>
      <c r="Q49" t="s">
        <v>3091</v>
      </c>
    </row>
    <row r="50" spans="16:17">
      <c r="P50">
        <v>10053</v>
      </c>
      <c r="Q50" t="s">
        <v>2737</v>
      </c>
    </row>
    <row r="51" spans="16:17">
      <c r="P51" s="421">
        <v>10054</v>
      </c>
      <c r="Q51" t="s">
        <v>355</v>
      </c>
    </row>
    <row r="52" spans="16:17">
      <c r="P52">
        <v>10098</v>
      </c>
      <c r="Q52" t="s">
        <v>468</v>
      </c>
    </row>
    <row r="53" spans="16:17">
      <c r="P53" s="421">
        <v>10056</v>
      </c>
      <c r="Q53" t="s">
        <v>3395</v>
      </c>
    </row>
    <row r="54" spans="16:17">
      <c r="P54" s="421">
        <v>10099</v>
      </c>
      <c r="Q54" t="s">
        <v>469</v>
      </c>
    </row>
    <row r="55" spans="16:17">
      <c r="P55">
        <v>10057</v>
      </c>
      <c r="Q55" t="s">
        <v>1348</v>
      </c>
    </row>
    <row r="56" spans="16:17">
      <c r="P56">
        <v>10100</v>
      </c>
      <c r="Q56" t="s">
        <v>467</v>
      </c>
    </row>
    <row r="57" spans="16:17">
      <c r="P57">
        <v>10055</v>
      </c>
      <c r="Q57" t="s">
        <v>167</v>
      </c>
    </row>
    <row r="58" spans="16:17">
      <c r="P58" s="421">
        <v>10136</v>
      </c>
      <c r="Q58" t="s">
        <v>2934</v>
      </c>
    </row>
    <row r="59" spans="16:17">
      <c r="P59" s="421">
        <v>10137</v>
      </c>
      <c r="Q59" t="s">
        <v>2491</v>
      </c>
    </row>
    <row r="60" spans="16:17">
      <c r="P60" s="421">
        <v>10150</v>
      </c>
      <c r="Q60" t="s">
        <v>1406</v>
      </c>
    </row>
    <row r="61" spans="16:17">
      <c r="P61">
        <v>10151</v>
      </c>
      <c r="Q61" t="s">
        <v>1499</v>
      </c>
    </row>
    <row r="62" spans="16:17">
      <c r="P62" s="421">
        <v>10152</v>
      </c>
      <c r="Q62" t="s">
        <v>2115</v>
      </c>
    </row>
    <row r="63" spans="16:17">
      <c r="P63" s="421">
        <v>10146</v>
      </c>
      <c r="Q63" t="s">
        <v>2389</v>
      </c>
    </row>
    <row r="64" spans="16:17">
      <c r="P64">
        <v>10148</v>
      </c>
      <c r="Q64" t="s">
        <v>2823</v>
      </c>
    </row>
    <row r="65" spans="16:20">
      <c r="P65">
        <v>10149</v>
      </c>
      <c r="Q65" t="s">
        <v>52</v>
      </c>
    </row>
    <row r="66" spans="16:20">
      <c r="P66" s="421">
        <v>10138</v>
      </c>
      <c r="Q66" t="s">
        <v>2159</v>
      </c>
    </row>
    <row r="67" spans="16:20">
      <c r="P67" s="421">
        <v>10147</v>
      </c>
      <c r="Q67" t="s">
        <v>170</v>
      </c>
    </row>
    <row r="68" spans="16:20">
      <c r="P68">
        <v>10145</v>
      </c>
      <c r="Q68" t="s">
        <v>3514</v>
      </c>
    </row>
    <row r="69" spans="16:20">
      <c r="P69" s="421">
        <v>10086</v>
      </c>
      <c r="Q69" t="s">
        <v>830</v>
      </c>
      <c r="S69" s="373"/>
      <c r="T69" s="373"/>
    </row>
    <row r="70" spans="16:20">
      <c r="P70" s="421">
        <v>10173</v>
      </c>
      <c r="Q70" t="s">
        <v>956</v>
      </c>
    </row>
    <row r="71" spans="16:20">
      <c r="P71" s="421">
        <v>10139</v>
      </c>
      <c r="Q71" t="s">
        <v>2337</v>
      </c>
    </row>
    <row r="72" spans="16:20">
      <c r="P72" s="421">
        <v>10140</v>
      </c>
      <c r="Q72" t="s">
        <v>3804</v>
      </c>
    </row>
    <row r="73" spans="16:20">
      <c r="P73" s="421">
        <v>10118</v>
      </c>
      <c r="Q73" t="s">
        <v>1187</v>
      </c>
    </row>
    <row r="74" spans="16:20">
      <c r="P74" s="421">
        <v>10168</v>
      </c>
      <c r="Q74" t="s">
        <v>1479</v>
      </c>
    </row>
    <row r="75" spans="16:20">
      <c r="P75">
        <v>10179</v>
      </c>
      <c r="Q75" t="s">
        <v>2909</v>
      </c>
    </row>
    <row r="76" spans="16:20">
      <c r="P76">
        <v>10087</v>
      </c>
      <c r="Q76" t="s">
        <v>436</v>
      </c>
    </row>
    <row r="77" spans="16:20">
      <c r="P77" s="421">
        <v>10176</v>
      </c>
      <c r="Q77" t="s">
        <v>809</v>
      </c>
    </row>
    <row r="78" spans="16:20">
      <c r="P78">
        <v>10207</v>
      </c>
      <c r="Q78" t="s">
        <v>889</v>
      </c>
    </row>
    <row r="79" spans="16:20">
      <c r="P79" s="421">
        <v>10121</v>
      </c>
      <c r="Q79" t="s">
        <v>1444</v>
      </c>
    </row>
    <row r="80" spans="16:20">
      <c r="P80" s="421">
        <v>10196</v>
      </c>
      <c r="Q80" t="s">
        <v>48</v>
      </c>
    </row>
    <row r="81" spans="16:17">
      <c r="P81">
        <v>10123</v>
      </c>
      <c r="Q81" t="s">
        <v>1996</v>
      </c>
    </row>
    <row r="82" spans="16:17">
      <c r="P82">
        <v>114</v>
      </c>
      <c r="Q82" t="s">
        <v>230</v>
      </c>
    </row>
    <row r="83" spans="16:17">
      <c r="P83" s="421">
        <v>113</v>
      </c>
      <c r="Q83" t="s">
        <v>3180</v>
      </c>
    </row>
    <row r="84" spans="16:17">
      <c r="P84" s="421">
        <v>10105</v>
      </c>
      <c r="Q84" t="s">
        <v>1099</v>
      </c>
    </row>
    <row r="85" spans="16:17">
      <c r="P85" s="421">
        <v>10112</v>
      </c>
      <c r="Q85" t="s">
        <v>979</v>
      </c>
    </row>
    <row r="86" spans="16:17">
      <c r="P86">
        <v>10084</v>
      </c>
      <c r="Q86" t="s">
        <v>2370</v>
      </c>
    </row>
    <row r="87" spans="16:17">
      <c r="P87" s="421">
        <v>10104</v>
      </c>
      <c r="Q87" t="s">
        <v>3715</v>
      </c>
    </row>
    <row r="88" spans="16:17">
      <c r="P88" s="421">
        <v>10216</v>
      </c>
      <c r="Q88" t="s">
        <v>164</v>
      </c>
    </row>
    <row r="89" spans="16:17">
      <c r="P89">
        <v>10217</v>
      </c>
      <c r="Q89" t="s">
        <v>3453</v>
      </c>
    </row>
    <row r="90" spans="16:17">
      <c r="P90">
        <v>10085</v>
      </c>
      <c r="Q90" t="s">
        <v>3831</v>
      </c>
    </row>
    <row r="91" spans="16:17">
      <c r="P91" s="421">
        <v>10088</v>
      </c>
      <c r="Q91" t="s">
        <v>3491</v>
      </c>
    </row>
    <row r="92" spans="16:17">
      <c r="P92">
        <v>10089</v>
      </c>
      <c r="Q92" t="s">
        <v>2759</v>
      </c>
    </row>
    <row r="93" spans="16:17">
      <c r="P93">
        <v>10185</v>
      </c>
      <c r="Q93" t="s">
        <v>2914</v>
      </c>
    </row>
    <row r="94" spans="16:17">
      <c r="P94">
        <v>10135</v>
      </c>
      <c r="Q94" t="s">
        <v>622</v>
      </c>
    </row>
    <row r="95" spans="16:17">
      <c r="P95" s="421">
        <v>10090</v>
      </c>
      <c r="Q95" t="s">
        <v>2460</v>
      </c>
    </row>
    <row r="96" spans="16:17">
      <c r="P96" s="421">
        <v>10155</v>
      </c>
      <c r="Q96" t="s">
        <v>623</v>
      </c>
    </row>
    <row r="97" spans="16:17">
      <c r="P97">
        <v>10219</v>
      </c>
      <c r="Q97" t="s">
        <v>3076</v>
      </c>
    </row>
    <row r="98" spans="16:17">
      <c r="P98" s="421">
        <v>10214</v>
      </c>
      <c r="Q98" t="s">
        <v>1507</v>
      </c>
    </row>
    <row r="99" spans="16:17">
      <c r="P99">
        <v>10215</v>
      </c>
      <c r="Q99" t="s">
        <v>1508</v>
      </c>
    </row>
    <row r="100" spans="16:17">
      <c r="P100" s="421">
        <v>10111</v>
      </c>
      <c r="Q100" t="s">
        <v>2515</v>
      </c>
    </row>
    <row r="101" spans="16:17">
      <c r="P101">
        <v>10068</v>
      </c>
      <c r="Q101" t="s">
        <v>851</v>
      </c>
    </row>
    <row r="102" spans="16:17">
      <c r="P102">
        <v>10069</v>
      </c>
      <c r="Q102" t="s">
        <v>1215</v>
      </c>
    </row>
    <row r="103" spans="16:17">
      <c r="P103" s="421">
        <v>10070</v>
      </c>
      <c r="Q103" t="s">
        <v>1612</v>
      </c>
    </row>
    <row r="104" spans="16:17">
      <c r="P104">
        <v>10092</v>
      </c>
      <c r="Q104" t="s">
        <v>1895</v>
      </c>
    </row>
    <row r="105" spans="16:17">
      <c r="P105" s="421">
        <v>10093</v>
      </c>
      <c r="Q105" t="s">
        <v>1645</v>
      </c>
    </row>
    <row r="106" spans="16:17">
      <c r="P106" s="421">
        <v>112</v>
      </c>
      <c r="Q106" t="s">
        <v>2020</v>
      </c>
    </row>
    <row r="107" spans="16:17">
      <c r="P107" s="421">
        <v>122</v>
      </c>
      <c r="Q107" t="s">
        <v>1559</v>
      </c>
    </row>
    <row r="108" spans="16:17">
      <c r="P108" s="421">
        <v>123</v>
      </c>
      <c r="Q108" t="s">
        <v>876</v>
      </c>
    </row>
    <row r="109" spans="16:17">
      <c r="P109" s="421">
        <v>10040</v>
      </c>
      <c r="Q109" t="s">
        <v>1887</v>
      </c>
    </row>
    <row r="110" spans="16:17">
      <c r="P110" s="421">
        <v>121</v>
      </c>
      <c r="Q110" t="s">
        <v>3437</v>
      </c>
    </row>
    <row r="111" spans="16:17">
      <c r="P111" s="421">
        <v>103</v>
      </c>
      <c r="Q111" t="s">
        <v>3845</v>
      </c>
    </row>
    <row r="112" spans="16:17">
      <c r="P112" s="421">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s="421">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s="421">
        <v>10028</v>
      </c>
      <c r="Q125" t="s">
        <v>1413</v>
      </c>
    </row>
    <row r="126" spans="16:17">
      <c r="P126" s="421">
        <v>10066</v>
      </c>
      <c r="Q126" t="s">
        <v>3089</v>
      </c>
    </row>
    <row r="127" spans="16:17">
      <c r="P127" s="421">
        <v>10067</v>
      </c>
      <c r="Q127" t="s">
        <v>3090</v>
      </c>
    </row>
    <row r="128" spans="16:17">
      <c r="P128" s="421">
        <v>10064</v>
      </c>
      <c r="Q128" t="s">
        <v>1064</v>
      </c>
    </row>
    <row r="129" spans="16:17">
      <c r="P129">
        <v>10065</v>
      </c>
      <c r="Q129" t="s">
        <v>679</v>
      </c>
    </row>
    <row r="130" spans="16:17">
      <c r="P130" s="421">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s="421">
        <v>215</v>
      </c>
      <c r="Q138" t="s">
        <v>3402</v>
      </c>
    </row>
    <row r="139" spans="16:17">
      <c r="P139" s="421">
        <v>1215</v>
      </c>
      <c r="Q139" t="s">
        <v>1380</v>
      </c>
    </row>
    <row r="140" spans="16:17">
      <c r="P140">
        <v>1214</v>
      </c>
      <c r="Q140" t="s">
        <v>2136</v>
      </c>
    </row>
    <row r="141" spans="16:17">
      <c r="P141">
        <v>10190</v>
      </c>
      <c r="Q141" t="s">
        <v>1924</v>
      </c>
    </row>
    <row r="142" spans="16:17">
      <c r="P142" s="421">
        <v>211</v>
      </c>
      <c r="Q142" t="s">
        <v>2458</v>
      </c>
    </row>
    <row r="143" spans="16:17">
      <c r="P143" s="421">
        <v>213</v>
      </c>
      <c r="Q143" t="s">
        <v>231</v>
      </c>
    </row>
    <row r="144" spans="16:17">
      <c r="P144" s="421">
        <v>1213</v>
      </c>
      <c r="Q144" t="s">
        <v>3273</v>
      </c>
    </row>
    <row r="145" spans="16:17">
      <c r="P145" s="421">
        <v>1211</v>
      </c>
      <c r="Q145" t="s">
        <v>43</v>
      </c>
    </row>
    <row r="146" spans="16:17">
      <c r="P146" s="421">
        <v>10037</v>
      </c>
      <c r="Q146" t="s">
        <v>694</v>
      </c>
    </row>
    <row r="147" spans="16:17">
      <c r="P147">
        <v>10038</v>
      </c>
      <c r="Q147" t="s">
        <v>1567</v>
      </c>
    </row>
    <row r="148" spans="16:17">
      <c r="P148">
        <v>10075</v>
      </c>
      <c r="Q148" t="s">
        <v>1975</v>
      </c>
    </row>
    <row r="149" spans="16:17">
      <c r="P149" s="421">
        <v>10094</v>
      </c>
      <c r="Q149" t="s">
        <v>1023</v>
      </c>
    </row>
    <row r="150" spans="16:17">
      <c r="P150" s="421">
        <v>10095</v>
      </c>
      <c r="Q150" t="s">
        <v>1024</v>
      </c>
    </row>
    <row r="151" spans="16:17">
      <c r="P151" s="421">
        <v>10076</v>
      </c>
      <c r="Q151" t="s">
        <v>1976</v>
      </c>
    </row>
    <row r="152" spans="16:17">
      <c r="P152" s="421">
        <v>212</v>
      </c>
      <c r="Q152" t="s">
        <v>1609</v>
      </c>
    </row>
    <row r="153" spans="16:17">
      <c r="P153" s="421">
        <v>1212</v>
      </c>
      <c r="Q153" t="s">
        <v>326</v>
      </c>
    </row>
    <row r="154" spans="16:17">
      <c r="P154">
        <v>216</v>
      </c>
      <c r="Q154" t="s">
        <v>1661</v>
      </c>
    </row>
    <row r="155" spans="16:17">
      <c r="P155" s="421">
        <v>1216</v>
      </c>
      <c r="Q155" t="s">
        <v>24</v>
      </c>
    </row>
    <row r="156" spans="16:17">
      <c r="P156">
        <v>10210</v>
      </c>
      <c r="Q156" t="s">
        <v>2943</v>
      </c>
    </row>
    <row r="157" spans="16:17">
      <c r="P157" s="421">
        <v>10212</v>
      </c>
      <c r="Q157" t="s">
        <v>2887</v>
      </c>
    </row>
    <row r="158" spans="16:17">
      <c r="P158" s="421">
        <v>10213</v>
      </c>
      <c r="Q158" t="s">
        <v>2888</v>
      </c>
    </row>
    <row r="159" spans="16:17">
      <c r="P159" s="421">
        <v>10211</v>
      </c>
      <c r="Q159" t="s">
        <v>2944</v>
      </c>
    </row>
    <row r="160" spans="16:17">
      <c r="P160" s="421">
        <v>10191</v>
      </c>
      <c r="Q160" t="s">
        <v>400</v>
      </c>
    </row>
    <row r="161" spans="16:17">
      <c r="P161">
        <v>10193</v>
      </c>
      <c r="Q161" t="s">
        <v>399</v>
      </c>
    </row>
    <row r="162" spans="16:17">
      <c r="P162" s="421">
        <v>10194</v>
      </c>
      <c r="Q162" t="s">
        <v>1553</v>
      </c>
    </row>
    <row r="163" spans="16:17">
      <c r="P163">
        <v>10192</v>
      </c>
      <c r="Q163" t="s">
        <v>401</v>
      </c>
    </row>
    <row r="164" spans="16:17">
      <c r="P164">
        <v>10164</v>
      </c>
      <c r="Q164" t="s">
        <v>480</v>
      </c>
    </row>
    <row r="165" spans="16:17">
      <c r="P165" s="421">
        <v>10166</v>
      </c>
      <c r="Q165" t="s">
        <v>2681</v>
      </c>
    </row>
    <row r="166" spans="16:17">
      <c r="P166">
        <v>10167</v>
      </c>
      <c r="Q166" t="s">
        <v>2682</v>
      </c>
    </row>
    <row r="167" spans="16:17">
      <c r="P167" s="421">
        <v>10165</v>
      </c>
      <c r="Q167" t="s">
        <v>566</v>
      </c>
    </row>
    <row r="168" spans="16:17">
      <c r="P168" s="421">
        <v>10143</v>
      </c>
      <c r="Q168" t="s">
        <v>735</v>
      </c>
    </row>
    <row r="169" spans="16:17">
      <c r="P169" s="421">
        <v>10144</v>
      </c>
      <c r="Q169" t="s">
        <v>736</v>
      </c>
    </row>
    <row r="170" spans="16:17">
      <c r="P170" s="421">
        <v>10131</v>
      </c>
      <c r="Q170" t="s">
        <v>3546</v>
      </c>
    </row>
    <row r="171" spans="16:17">
      <c r="P171" s="421">
        <v>10132</v>
      </c>
      <c r="Q171" t="s">
        <v>670</v>
      </c>
    </row>
    <row r="172" spans="16:17">
      <c r="P172">
        <v>47</v>
      </c>
      <c r="Q172" t="s">
        <v>1821</v>
      </c>
    </row>
    <row r="173" spans="16:17">
      <c r="P173" s="421">
        <v>20</v>
      </c>
      <c r="Q173" t="s">
        <v>1823</v>
      </c>
    </row>
    <row r="174" spans="16:17">
      <c r="P174" s="421">
        <v>21</v>
      </c>
      <c r="Q174" t="s">
        <v>3676</v>
      </c>
    </row>
    <row r="175" spans="16:17">
      <c r="P175" s="421">
        <v>10096</v>
      </c>
      <c r="Q175" t="s">
        <v>2341</v>
      </c>
    </row>
    <row r="176" spans="16:17">
      <c r="P176">
        <v>10101</v>
      </c>
      <c r="Q176" t="s">
        <v>1419</v>
      </c>
    </row>
    <row r="177" spans="16:17">
      <c r="P177">
        <v>10134</v>
      </c>
      <c r="Q177" t="s">
        <v>1671</v>
      </c>
    </row>
    <row r="178" spans="16:17">
      <c r="P178" s="421">
        <v>10154</v>
      </c>
      <c r="Q178" t="s">
        <v>1622</v>
      </c>
    </row>
    <row r="179" spans="16:17">
      <c r="P179" s="421">
        <v>10115</v>
      </c>
      <c r="Q179" t="s">
        <v>3157</v>
      </c>
    </row>
    <row r="180" spans="16:17">
      <c r="P180">
        <v>10116</v>
      </c>
      <c r="Q180" t="s">
        <v>1048</v>
      </c>
    </row>
    <row r="181" spans="16:17">
      <c r="P181" s="421">
        <v>10117</v>
      </c>
      <c r="Q181" t="s">
        <v>2600</v>
      </c>
    </row>
    <row r="182" spans="16:17">
      <c r="P182">
        <v>10077</v>
      </c>
      <c r="Q182" t="s">
        <v>2031</v>
      </c>
    </row>
    <row r="183" spans="16:17">
      <c r="P183">
        <v>10078</v>
      </c>
      <c r="Q183" t="s">
        <v>2032</v>
      </c>
    </row>
    <row r="184" spans="16:17">
      <c r="P184" s="421">
        <v>10079</v>
      </c>
      <c r="Q184" t="s">
        <v>40</v>
      </c>
    </row>
    <row r="185" spans="16:17">
      <c r="P185" s="421">
        <v>205</v>
      </c>
      <c r="Q185" t="s">
        <v>3540</v>
      </c>
    </row>
    <row r="186" spans="16:17">
      <c r="P186" s="421">
        <v>1205</v>
      </c>
      <c r="Q186" t="s">
        <v>42</v>
      </c>
    </row>
    <row r="187" spans="16:17">
      <c r="P187">
        <v>111</v>
      </c>
      <c r="Q187" t="s">
        <v>221</v>
      </c>
    </row>
    <row r="188" spans="16:17">
      <c r="P188" s="421">
        <v>1111</v>
      </c>
      <c r="Q188" t="s">
        <v>3423</v>
      </c>
    </row>
    <row r="189" spans="16:17">
      <c r="P189" s="421">
        <v>105</v>
      </c>
      <c r="Q189" t="s">
        <v>3847</v>
      </c>
    </row>
    <row r="190" spans="16:17">
      <c r="P190">
        <v>1105</v>
      </c>
      <c r="Q190" t="s">
        <v>875</v>
      </c>
    </row>
    <row r="191" spans="16:17">
      <c r="P191" s="421">
        <v>301</v>
      </c>
      <c r="Q191" t="s">
        <v>3422</v>
      </c>
    </row>
    <row r="192" spans="16:17">
      <c r="P192" s="421">
        <v>1301</v>
      </c>
      <c r="Q192" t="s">
        <v>3844</v>
      </c>
    </row>
    <row r="193" spans="16:17">
      <c r="P193">
        <v>302</v>
      </c>
      <c r="Q193" t="s">
        <v>2265</v>
      </c>
    </row>
    <row r="194" spans="16:17">
      <c r="P194" s="421">
        <v>1302</v>
      </c>
      <c r="Q194" t="s">
        <v>551</v>
      </c>
    </row>
    <row r="195" spans="16:17">
      <c r="P195" s="421">
        <v>101</v>
      </c>
      <c r="Q195" t="s">
        <v>1922</v>
      </c>
    </row>
    <row r="196" spans="16:17">
      <c r="P196" s="421">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s="421">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s="421">
        <v>203</v>
      </c>
      <c r="Q211" t="s">
        <v>2710</v>
      </c>
    </row>
    <row r="212" spans="16:17">
      <c r="P212">
        <v>204</v>
      </c>
      <c r="Q212" t="s">
        <v>2336</v>
      </c>
    </row>
    <row r="213" spans="16:17">
      <c r="P213" s="421">
        <v>1204</v>
      </c>
      <c r="Q213" t="s">
        <v>777</v>
      </c>
    </row>
    <row r="214" spans="16:17">
      <c r="P214">
        <v>1203</v>
      </c>
      <c r="Q214" t="s">
        <v>3821</v>
      </c>
    </row>
    <row r="215" spans="16:17">
      <c r="P215">
        <v>10047</v>
      </c>
      <c r="Q215" t="s">
        <v>813</v>
      </c>
    </row>
    <row r="216" spans="16:17">
      <c r="P216">
        <v>10048</v>
      </c>
      <c r="Q216" t="s">
        <v>814</v>
      </c>
    </row>
    <row r="217" spans="16:17">
      <c r="P217" s="421">
        <v>10016</v>
      </c>
      <c r="Q217" t="s">
        <v>213</v>
      </c>
    </row>
    <row r="218" spans="16:17">
      <c r="P218" s="421">
        <v>10017</v>
      </c>
      <c r="Q218" t="s">
        <v>3450</v>
      </c>
    </row>
    <row r="219" spans="16:17">
      <c r="P219" s="421">
        <v>10002</v>
      </c>
      <c r="Q219" t="s">
        <v>3778</v>
      </c>
    </row>
    <row r="220" spans="16:17">
      <c r="P220" s="421">
        <v>10005</v>
      </c>
      <c r="Q220" t="s">
        <v>3779</v>
      </c>
    </row>
    <row r="221" spans="16:17">
      <c r="P221" s="421">
        <v>10049</v>
      </c>
      <c r="Q221" t="s">
        <v>225</v>
      </c>
    </row>
    <row r="222" spans="16:17">
      <c r="P222">
        <v>10050</v>
      </c>
      <c r="Q222" t="s">
        <v>1439</v>
      </c>
    </row>
    <row r="223" spans="16:17">
      <c r="P223" s="421">
        <v>10022</v>
      </c>
      <c r="Q223" t="s">
        <v>216</v>
      </c>
    </row>
    <row r="224" spans="16:17">
      <c r="P224" s="421">
        <v>10023</v>
      </c>
      <c r="Q224" t="s">
        <v>3807</v>
      </c>
    </row>
    <row r="225" spans="16:17">
      <c r="P225" s="421">
        <v>10010</v>
      </c>
      <c r="Q225" t="s">
        <v>452</v>
      </c>
    </row>
    <row r="226" spans="16:17">
      <c r="P226" s="421">
        <v>10012</v>
      </c>
      <c r="Q226" t="s">
        <v>1359</v>
      </c>
    </row>
    <row r="227" spans="16:17">
      <c r="P227">
        <v>10000</v>
      </c>
      <c r="Q227" t="s">
        <v>441</v>
      </c>
    </row>
    <row r="228" spans="16:17">
      <c r="P228" s="421">
        <v>10045</v>
      </c>
      <c r="Q228" t="s">
        <v>357</v>
      </c>
    </row>
    <row r="229" spans="16:17">
      <c r="P229">
        <v>10046</v>
      </c>
      <c r="Q229" t="s">
        <v>1879</v>
      </c>
    </row>
    <row r="230" spans="16:17">
      <c r="P230" s="421">
        <v>10003</v>
      </c>
      <c r="Q230" t="s">
        <v>315</v>
      </c>
    </row>
    <row r="231" spans="16:17">
      <c r="P231">
        <v>10032</v>
      </c>
      <c r="Q231" t="s">
        <v>1796</v>
      </c>
    </row>
    <row r="232" spans="16:17">
      <c r="P232" s="421">
        <v>10008</v>
      </c>
      <c r="Q232" t="s">
        <v>3223</v>
      </c>
    </row>
    <row r="233" spans="16:17">
      <c r="P233" s="421">
        <v>10009</v>
      </c>
      <c r="Q233" t="s">
        <v>1358</v>
      </c>
    </row>
    <row r="234" spans="16:17">
      <c r="P234" s="421">
        <v>10035</v>
      </c>
      <c r="Q234" t="s">
        <v>675</v>
      </c>
    </row>
    <row r="235" spans="16:17">
      <c r="P235" s="421">
        <v>10051</v>
      </c>
      <c r="Q235" t="s">
        <v>1563</v>
      </c>
    </row>
    <row r="236" spans="16:17">
      <c r="P236">
        <v>10052</v>
      </c>
      <c r="Q236" t="s">
        <v>3209</v>
      </c>
    </row>
    <row r="237" spans="16:17">
      <c r="P237" s="421">
        <v>10018</v>
      </c>
      <c r="Q237" t="s">
        <v>214</v>
      </c>
    </row>
    <row r="238" spans="16:17">
      <c r="P238" s="421">
        <v>10019</v>
      </c>
      <c r="Q238" t="s">
        <v>2489</v>
      </c>
    </row>
    <row r="239" spans="16:17">
      <c r="P239" s="421">
        <v>10106</v>
      </c>
      <c r="Q239" t="s">
        <v>298</v>
      </c>
    </row>
    <row r="240" spans="16:17">
      <c r="P240" s="421">
        <v>10080</v>
      </c>
      <c r="Q240" t="s">
        <v>2913</v>
      </c>
    </row>
    <row r="241" spans="16:17">
      <c r="P241" s="421">
        <v>10081</v>
      </c>
      <c r="Q241" t="s">
        <v>126</v>
      </c>
    </row>
    <row r="242" spans="16:17">
      <c r="P242">
        <v>10107</v>
      </c>
      <c r="Q242" t="s">
        <v>2318</v>
      </c>
    </row>
    <row r="243" spans="16:17">
      <c r="P243" s="421">
        <v>10011</v>
      </c>
      <c r="Q243" t="s">
        <v>453</v>
      </c>
    </row>
    <row r="244" spans="16:17">
      <c r="P244">
        <v>10013</v>
      </c>
      <c r="Q244" t="s">
        <v>1360</v>
      </c>
    </row>
    <row r="245" spans="16:17">
      <c r="P245">
        <v>10014</v>
      </c>
      <c r="Q245" t="s">
        <v>212</v>
      </c>
    </row>
    <row r="246" spans="16:17">
      <c r="P246" s="421">
        <v>10015</v>
      </c>
      <c r="Q246" t="s">
        <v>3449</v>
      </c>
    </row>
    <row r="247" spans="16:17">
      <c r="P247">
        <v>10036</v>
      </c>
      <c r="Q247" t="s">
        <v>2259</v>
      </c>
    </row>
    <row r="248" spans="16:17">
      <c r="P248" s="421">
        <v>10024</v>
      </c>
      <c r="Q248" t="s">
        <v>217</v>
      </c>
    </row>
    <row r="249" spans="16:17">
      <c r="P249" s="421">
        <v>10025</v>
      </c>
      <c r="Q249" t="s">
        <v>711</v>
      </c>
    </row>
    <row r="250" spans="16:17">
      <c r="P250">
        <v>10001</v>
      </c>
      <c r="Q250" t="s">
        <v>1033</v>
      </c>
    </row>
    <row r="251" spans="16:17">
      <c r="P251" s="421">
        <v>10020</v>
      </c>
      <c r="Q251" t="s">
        <v>215</v>
      </c>
    </row>
    <row r="252" spans="16:17">
      <c r="P252" s="421">
        <v>10021</v>
      </c>
      <c r="Q252" t="s">
        <v>2490</v>
      </c>
    </row>
    <row r="253" spans="16:17">
      <c r="P253" s="421">
        <v>10004</v>
      </c>
      <c r="Q253" t="s">
        <v>1700</v>
      </c>
    </row>
    <row r="254" spans="16:17">
      <c r="P254" s="421">
        <v>10033</v>
      </c>
      <c r="Q254" t="s">
        <v>232</v>
      </c>
    </row>
    <row r="255" spans="16:17">
      <c r="P255" s="421">
        <v>10034</v>
      </c>
      <c r="Q255" t="s">
        <v>2763</v>
      </c>
    </row>
    <row r="256" spans="16:17">
      <c r="P256">
        <v>10125</v>
      </c>
      <c r="Q256" t="s">
        <v>45</v>
      </c>
    </row>
    <row r="257" spans="16:17">
      <c r="P257" s="421">
        <v>10126</v>
      </c>
      <c r="Q257" t="s">
        <v>46</v>
      </c>
    </row>
    <row r="258" spans="16:17">
      <c r="P258">
        <v>10124</v>
      </c>
      <c r="Q258" t="s">
        <v>676</v>
      </c>
    </row>
    <row r="259" spans="16:17">
      <c r="P259" s="421">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P46"/>
  <sheetViews>
    <sheetView topLeftCell="A7" zoomScaleNormal="100" workbookViewId="0">
      <selection activeCell="Q16" sqref="A15:Q16"/>
    </sheetView>
  </sheetViews>
  <sheetFormatPr baseColWidth="10" defaultColWidth="9.33203125" defaultRowHeight="12.75"/>
  <cols>
    <col min="1" max="1" width="19.1640625" style="3" customWidth="1"/>
    <col min="2" max="14" width="10.83203125" style="3" customWidth="1"/>
    <col min="15" max="15" width="9.5" style="3" bestFit="1" customWidth="1"/>
    <col min="16" max="16" width="11.5" style="3" bestFit="1" customWidth="1"/>
    <col min="17" max="16384" width="9.33203125" style="3"/>
  </cols>
  <sheetData>
    <row r="1" spans="1:8">
      <c r="A1" s="3" t="s">
        <v>1351</v>
      </c>
    </row>
    <row r="3" spans="1:8">
      <c r="A3" s="77" t="s">
        <v>856</v>
      </c>
      <c r="B3" s="186">
        <f>Anal_Robot_Code</f>
        <v>10001</v>
      </c>
      <c r="C3" s="207" t="str">
        <f>VLOOKUP(B3,Robotlist,2, FALSE)</f>
        <v>R-2000iB/210F</v>
      </c>
      <c r="D3" s="77"/>
    </row>
    <row r="5" spans="1:8">
      <c r="A5" s="3" t="s">
        <v>2850</v>
      </c>
    </row>
    <row r="6" spans="1:8">
      <c r="C6" s="173" t="s">
        <v>2978</v>
      </c>
      <c r="D6" s="3" t="s">
        <v>1422</v>
      </c>
      <c r="E6" s="173" t="s">
        <v>1882</v>
      </c>
      <c r="F6" s="173" t="s">
        <v>994</v>
      </c>
      <c r="H6" s="173" t="s">
        <v>2157</v>
      </c>
    </row>
    <row r="7" spans="1:8">
      <c r="C7" s="173" t="s">
        <v>2977</v>
      </c>
      <c r="D7" s="3" t="s">
        <v>2976</v>
      </c>
      <c r="E7" s="173" t="s">
        <v>2977</v>
      </c>
      <c r="F7" s="173" t="s">
        <v>2977</v>
      </c>
      <c r="H7" s="173" t="s">
        <v>2977</v>
      </c>
    </row>
    <row r="8" spans="1:8">
      <c r="A8" s="3" t="s">
        <v>1096</v>
      </c>
      <c r="E8" s="3">
        <f>'Wrist Load Analysis'!C31</f>
        <v>90</v>
      </c>
      <c r="F8" s="3">
        <v>100</v>
      </c>
    </row>
    <row r="9" spans="1:8">
      <c r="A9" s="3" t="s">
        <v>292</v>
      </c>
      <c r="B9" s="3" t="str">
        <f>IF(Axis_Count=1,"J5","J6")</f>
        <v>J6</v>
      </c>
      <c r="C9" s="3">
        <f>IF(H9&gt;$E$8, $E$8, H9)</f>
        <v>53.300000000000004</v>
      </c>
      <c r="D9" s="3">
        <v>0</v>
      </c>
      <c r="E9" s="3">
        <f>IF(H9&gt;$F$8, $F$8-$E$8, IF(H9&gt;$E$8, H9-$E$8, 0))</f>
        <v>0</v>
      </c>
      <c r="F9" s="3">
        <f>IF(H9&gt;$F$8, H9-$F$8, 0)</f>
        <v>0</v>
      </c>
      <c r="H9" s="3">
        <f>'Wrist Load Analysis'!R20</f>
        <v>53.300000000000004</v>
      </c>
    </row>
    <row r="11" spans="1:8">
      <c r="A11" s="3" t="s">
        <v>348</v>
      </c>
      <c r="B11" s="3" t="s">
        <v>2344</v>
      </c>
      <c r="C11" s="3">
        <f>IF(H11&gt;$E$8, $E$8, H11)</f>
        <v>36</v>
      </c>
      <c r="D11" s="3">
        <v>0</v>
      </c>
      <c r="E11" s="3">
        <f>IF(H11&gt;$F$8, $F$8-$E$8, IF(H11&gt;$E$8, H11-$E$8, 0))</f>
        <v>0</v>
      </c>
      <c r="F11" s="3">
        <f>IF(H11&gt;$F$8, H11-$F$8, 0)</f>
        <v>0</v>
      </c>
      <c r="H11" s="3">
        <f>IF(Anal_Robot_Code=10111,0,'Wrist Load Analysis'!R22)</f>
        <v>36</v>
      </c>
    </row>
    <row r="12" spans="1:8">
      <c r="B12" s="3" t="s">
        <v>1618</v>
      </c>
      <c r="C12" s="3">
        <f>IF(H12&gt;$E$8, $E$8, H12)</f>
        <v>36</v>
      </c>
      <c r="D12" s="3">
        <v>0</v>
      </c>
      <c r="E12" s="3">
        <f>IF(H12&gt;$F$8, $F$8-$E$8, IF(H12&gt;$E$8, H12-$E$8, 0))</f>
        <v>0</v>
      </c>
      <c r="F12" s="3">
        <f>IF(H12&gt;$F$8, H12-$F$8, 0)</f>
        <v>0</v>
      </c>
      <c r="H12" s="3">
        <f>'Wrist Load Analysis'!R23</f>
        <v>36</v>
      </c>
    </row>
    <row r="13" spans="1:8">
      <c r="B13" s="3" t="str">
        <f>IF(Axis_Count=1,"","J6")</f>
        <v>J6</v>
      </c>
      <c r="C13" s="3">
        <f>IF(H13&gt;$E$8, $E$8, H13)</f>
        <v>14</v>
      </c>
      <c r="D13" s="3">
        <v>0</v>
      </c>
      <c r="E13" s="3">
        <f>IF(H13&gt;$F$8, $F$8-$E$8, IF(H13&gt;$E$8, H13-$E$8, 0))</f>
        <v>0</v>
      </c>
      <c r="F13" s="3">
        <f>IF(H13&gt;$F$8, H13-$F$8, 0)</f>
        <v>0</v>
      </c>
      <c r="H13" s="3">
        <f>'Wrist Load Analysis'!R24</f>
        <v>14</v>
      </c>
    </row>
    <row r="15" spans="1:8">
      <c r="A15" s="3" t="s">
        <v>488</v>
      </c>
      <c r="B15" s="3" t="s">
        <v>2344</v>
      </c>
      <c r="C15" s="3">
        <f>IF(H15&gt;E8, E8, H15)</f>
        <v>25.1</v>
      </c>
      <c r="D15" s="3">
        <v>0</v>
      </c>
      <c r="E15" s="3">
        <f>IF(H15&gt;$F$8, $F$8-$E$8, IF(H15&gt;$E$8, H15-$E$8, 0))</f>
        <v>0</v>
      </c>
      <c r="F15" s="3">
        <f>IF(H15&gt;$F$8, H15-$F$8, 0)</f>
        <v>0</v>
      </c>
      <c r="H15" s="3">
        <f>'Wrist Load Analysis'!R26</f>
        <v>25.1</v>
      </c>
    </row>
    <row r="16" spans="1:8">
      <c r="B16" s="3" t="s">
        <v>1618</v>
      </c>
      <c r="C16" s="3">
        <f>IF(H16&gt;E8, E8, H16)</f>
        <v>24.700000000000003</v>
      </c>
      <c r="D16" s="3">
        <v>0</v>
      </c>
      <c r="E16" s="3">
        <f>IF(H16&gt;$F$8, $F$8-$E$8, IF(H16&gt;$E$8, H16-$E$8, 0))</f>
        <v>0</v>
      </c>
      <c r="F16" s="3">
        <f>IF(H16&gt;$F$8, H16-$F$8, 0)</f>
        <v>0</v>
      </c>
      <c r="H16" s="3">
        <f>'Wrist Load Analysis'!R27</f>
        <v>24.700000000000003</v>
      </c>
    </row>
    <row r="17" spans="1:16">
      <c r="B17" s="3" t="str">
        <f>IF(Axis_Count=1,"","J6")</f>
        <v>J6</v>
      </c>
      <c r="C17" s="3">
        <f>IF(H17&gt;E8, E8, H17)</f>
        <v>10.9</v>
      </c>
      <c r="D17" s="3">
        <v>0</v>
      </c>
      <c r="E17" s="3">
        <f>IF(H17&gt;$F$8, $F$8-$E$8, IF(H17&gt;$E$8, H17-$E$8, 0))</f>
        <v>0</v>
      </c>
      <c r="F17" s="3">
        <f>IF(H17&gt;$F$8, H17-$F$8, 0)</f>
        <v>0</v>
      </c>
      <c r="H17" s="3">
        <f>'Wrist Load Analysis'!R28</f>
        <v>10.9</v>
      </c>
    </row>
    <row r="19" spans="1:16">
      <c r="A19" s="3" t="s">
        <v>2755</v>
      </c>
    </row>
    <row r="20" spans="1:16">
      <c r="I20" s="173" t="s">
        <v>2157</v>
      </c>
      <c r="J20" s="173" t="s">
        <v>1381</v>
      </c>
      <c r="K20" s="173" t="s">
        <v>1381</v>
      </c>
      <c r="L20" s="173" t="s">
        <v>642</v>
      </c>
      <c r="M20" s="173" t="s">
        <v>2204</v>
      </c>
      <c r="N20" s="173" t="s">
        <v>2204</v>
      </c>
      <c r="O20" s="3" t="s">
        <v>293</v>
      </c>
      <c r="P20" s="3" t="s">
        <v>293</v>
      </c>
    </row>
    <row r="21" spans="1:16">
      <c r="C21" s="173" t="s">
        <v>3122</v>
      </c>
      <c r="D21" s="173" t="s">
        <v>2976</v>
      </c>
      <c r="E21" s="173" t="s">
        <v>2976</v>
      </c>
      <c r="F21" s="173" t="s">
        <v>3636</v>
      </c>
      <c r="G21" s="173" t="s">
        <v>3636</v>
      </c>
      <c r="H21" s="173" t="s">
        <v>641</v>
      </c>
      <c r="I21" s="173" t="s">
        <v>1382</v>
      </c>
      <c r="J21" s="173" t="s">
        <v>2158</v>
      </c>
      <c r="K21" s="173" t="s">
        <v>641</v>
      </c>
      <c r="L21" s="173" t="s">
        <v>2158</v>
      </c>
      <c r="M21" s="173" t="s">
        <v>1271</v>
      </c>
      <c r="N21" s="173" t="s">
        <v>1271</v>
      </c>
      <c r="O21" s="3" t="s">
        <v>1271</v>
      </c>
      <c r="P21" s="3" t="s">
        <v>1271</v>
      </c>
    </row>
    <row r="22" spans="1:16">
      <c r="C22" s="173" t="s">
        <v>1346</v>
      </c>
      <c r="D22" s="173" t="s">
        <v>2158</v>
      </c>
      <c r="E22" s="173" t="s">
        <v>641</v>
      </c>
      <c r="F22" s="173" t="s">
        <v>2158</v>
      </c>
      <c r="G22" s="173" t="s">
        <v>641</v>
      </c>
      <c r="H22" s="173" t="s">
        <v>2156</v>
      </c>
      <c r="I22" s="173" t="s">
        <v>1271</v>
      </c>
      <c r="J22" s="173"/>
      <c r="K22" s="173" t="s">
        <v>3532</v>
      </c>
      <c r="L22" s="173" t="s">
        <v>2003</v>
      </c>
      <c r="M22" s="173" t="s">
        <v>1420</v>
      </c>
      <c r="N22" s="173" t="s">
        <v>1421</v>
      </c>
      <c r="O22" s="3" t="s">
        <v>1420</v>
      </c>
      <c r="P22" s="3" t="s">
        <v>1421</v>
      </c>
    </row>
    <row r="23" spans="1:16">
      <c r="C23" s="173"/>
      <c r="D23" s="173"/>
      <c r="E23" s="173"/>
      <c r="H23" s="173"/>
      <c r="I23" s="173"/>
      <c r="J23" s="173"/>
      <c r="K23" s="173"/>
      <c r="L23" s="173" t="s">
        <v>446</v>
      </c>
      <c r="O23" s="210"/>
      <c r="P23" s="210">
        <f>E8/100</f>
        <v>0.9</v>
      </c>
    </row>
    <row r="25" spans="1:16">
      <c r="B25" s="3" t="s">
        <v>2344</v>
      </c>
      <c r="C25" s="3">
        <f>VLOOKUP($B$3,Table1,3)</f>
        <v>207</v>
      </c>
      <c r="D25" s="3">
        <f>VLOOKUP($B$3,Table1,6)</f>
        <v>1333</v>
      </c>
      <c r="E25" s="3">
        <f>VLOOKUP($B$3,Table1,9)</f>
        <v>141.1</v>
      </c>
      <c r="F25" s="209">
        <f>'Wrist Load Analysis'!R7</f>
        <v>483.63386234917573</v>
      </c>
      <c r="G25" s="209">
        <f>'Wrist Load Analysis'!R10</f>
        <v>35.41587809019633</v>
      </c>
      <c r="H25" s="3">
        <f>VLOOKUP($C25,Table2,2)</f>
        <v>4.0999999999999996</v>
      </c>
      <c r="I25" s="3">
        <f>VLOOKUP($C25,Table2,3)</f>
        <v>1912</v>
      </c>
      <c r="J25" s="3">
        <f>VLOOKUP($C25,Table2,4)</f>
        <v>1333</v>
      </c>
      <c r="K25" s="3">
        <f>VLOOKUP($C25,Table2,5)</f>
        <v>190</v>
      </c>
      <c r="L25" s="208">
        <f>I25-(K25*H25)</f>
        <v>1133</v>
      </c>
      <c r="M25" s="3">
        <v>0</v>
      </c>
      <c r="N25" s="3">
        <f>D25</f>
        <v>1333</v>
      </c>
      <c r="O25" s="3">
        <f t="shared" ref="O25:P27" si="0">M25*$P$23</f>
        <v>0</v>
      </c>
      <c r="P25" s="3">
        <f t="shared" si="0"/>
        <v>1199.7</v>
      </c>
    </row>
    <row r="26" spans="1:16">
      <c r="F26" s="209"/>
      <c r="G26" s="209"/>
      <c r="L26" s="208"/>
      <c r="M26" s="3">
        <f>E25</f>
        <v>141.1</v>
      </c>
      <c r="N26" s="3">
        <f>N25</f>
        <v>1333</v>
      </c>
      <c r="O26" s="3">
        <f t="shared" si="0"/>
        <v>126.99</v>
      </c>
      <c r="P26" s="3">
        <f t="shared" si="0"/>
        <v>1199.7</v>
      </c>
    </row>
    <row r="27" spans="1:16">
      <c r="F27" s="209"/>
      <c r="G27" s="209"/>
      <c r="L27" s="208"/>
      <c r="M27" s="3">
        <f>M26</f>
        <v>141.1</v>
      </c>
      <c r="N27" s="208">
        <v>0</v>
      </c>
      <c r="O27" s="3">
        <f t="shared" si="0"/>
        <v>126.99</v>
      </c>
      <c r="P27" s="3">
        <f t="shared" si="0"/>
        <v>0</v>
      </c>
    </row>
    <row r="28" spans="1:16">
      <c r="F28" s="209"/>
      <c r="G28" s="209"/>
      <c r="L28" s="208"/>
    </row>
    <row r="29" spans="1:16">
      <c r="B29" s="3" t="s">
        <v>1618</v>
      </c>
      <c r="C29" s="3">
        <f>VLOOKUP($B$3,Table1,4)</f>
        <v>208</v>
      </c>
      <c r="D29" s="3">
        <f>VLOOKUP($B$3,Table1,7)</f>
        <v>1333</v>
      </c>
      <c r="E29" s="3">
        <f>VLOOKUP($B$3,Table1,10)</f>
        <v>141.1</v>
      </c>
      <c r="F29" s="209">
        <f>'Wrist Load Analysis'!R8</f>
        <v>483.63386234917573</v>
      </c>
      <c r="G29" s="209">
        <f>'Wrist Load Analysis'!R11</f>
        <v>34.727963844522719</v>
      </c>
      <c r="H29" s="3">
        <f>VLOOKUP($C29,Table2,2)</f>
        <v>2.79</v>
      </c>
      <c r="I29" s="3">
        <f>VLOOKUP($C29,Table2,3)</f>
        <v>1727</v>
      </c>
      <c r="J29" s="3">
        <f>VLOOKUP($C29,Table2,4)</f>
        <v>1333</v>
      </c>
      <c r="K29" s="3">
        <f>VLOOKUP($C29,Table2,5)</f>
        <v>215</v>
      </c>
      <c r="L29" s="208">
        <f>I29-(K29*H29)</f>
        <v>1127.1500000000001</v>
      </c>
      <c r="M29" s="3">
        <v>0</v>
      </c>
      <c r="N29" s="3">
        <f>D29</f>
        <v>1333</v>
      </c>
      <c r="O29" s="3">
        <f t="shared" ref="O29:P31" si="1">M29*$P$23</f>
        <v>0</v>
      </c>
      <c r="P29" s="3">
        <f t="shared" si="1"/>
        <v>1199.7</v>
      </c>
    </row>
    <row r="30" spans="1:16">
      <c r="F30" s="209"/>
      <c r="G30" s="209"/>
      <c r="L30" s="208"/>
      <c r="M30" s="3">
        <f>E29</f>
        <v>141.1</v>
      </c>
      <c r="N30" s="3">
        <f>N29</f>
        <v>1333</v>
      </c>
      <c r="O30" s="3">
        <f t="shared" si="1"/>
        <v>126.99</v>
      </c>
      <c r="P30" s="3">
        <f t="shared" si="1"/>
        <v>1199.7</v>
      </c>
    </row>
    <row r="31" spans="1:16">
      <c r="F31" s="209"/>
      <c r="G31" s="209"/>
      <c r="L31" s="208"/>
      <c r="M31" s="3">
        <f>M30</f>
        <v>141.1</v>
      </c>
      <c r="N31" s="208">
        <v>0</v>
      </c>
      <c r="O31" s="3">
        <f t="shared" si="1"/>
        <v>126.99</v>
      </c>
      <c r="P31" s="3">
        <f t="shared" si="1"/>
        <v>0</v>
      </c>
    </row>
    <row r="32" spans="1:16">
      <c r="F32" s="209"/>
      <c r="G32" s="209"/>
      <c r="L32" s="208"/>
    </row>
    <row r="33" spans="2:16">
      <c r="B33" s="3" t="s">
        <v>270</v>
      </c>
      <c r="C33" s="3">
        <f>VLOOKUP($B$3,Table1,5)</f>
        <v>209</v>
      </c>
      <c r="D33" s="3">
        <f>VLOOKUP($B$3,Table1,8)</f>
        <v>706</v>
      </c>
      <c r="E33" s="3">
        <f>VLOOKUP($B$3,Table1,11)</f>
        <v>78.400000000000006</v>
      </c>
      <c r="F33" s="209">
        <f>'Wrist Load Analysis'!R9</f>
        <v>100.61280362082796</v>
      </c>
      <c r="G33" s="209">
        <f>'Wrist Load Analysis'!R12</f>
        <v>8.4924227354221333</v>
      </c>
      <c r="H33" s="3">
        <f>VLOOKUP($C33,Table2,2)</f>
        <v>2.93</v>
      </c>
      <c r="I33" s="3">
        <f>VLOOKUP($C33,Table2,3)</f>
        <v>936</v>
      </c>
      <c r="J33" s="3">
        <f>VLOOKUP($C33,Table2,4)</f>
        <v>706</v>
      </c>
      <c r="K33" s="3">
        <f>VLOOKUP($C33,Table2,5)</f>
        <v>103</v>
      </c>
      <c r="L33" s="208">
        <f>I33-(K33*H33)</f>
        <v>634.21</v>
      </c>
      <c r="M33" s="3">
        <v>0</v>
      </c>
      <c r="N33" s="3">
        <f>D33</f>
        <v>706</v>
      </c>
      <c r="O33" s="3">
        <f t="shared" ref="O33:P35" si="2">M33*$P$23</f>
        <v>0</v>
      </c>
      <c r="P33" s="3">
        <f t="shared" si="2"/>
        <v>635.4</v>
      </c>
    </row>
    <row r="34" spans="2:16">
      <c r="M34" s="3">
        <f>E33</f>
        <v>78.400000000000006</v>
      </c>
      <c r="N34" s="3">
        <f>N33</f>
        <v>706</v>
      </c>
      <c r="O34" s="3">
        <f t="shared" si="2"/>
        <v>70.56</v>
      </c>
      <c r="P34" s="3">
        <f t="shared" si="2"/>
        <v>635.4</v>
      </c>
    </row>
    <row r="35" spans="2:16">
      <c r="M35" s="3">
        <f>M34</f>
        <v>78.400000000000006</v>
      </c>
      <c r="N35" s="208">
        <v>0</v>
      </c>
      <c r="O35" s="3">
        <f t="shared" si="2"/>
        <v>70.56</v>
      </c>
      <c r="P35" s="3">
        <f t="shared" si="2"/>
        <v>0</v>
      </c>
    </row>
    <row r="46" spans="2:16">
      <c r="C46" s="417"/>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54"/>
  <sheetViews>
    <sheetView topLeftCell="A31" workbookViewId="0">
      <selection activeCell="B55" sqref="B55"/>
    </sheetView>
  </sheetViews>
  <sheetFormatPr baseColWidth="10" defaultColWidth="9.33203125" defaultRowHeight="12.75"/>
  <cols>
    <col min="1" max="1" width="12.1640625" style="601" bestFit="1" customWidth="1"/>
    <col min="2" max="2" width="13" style="602" bestFit="1" customWidth="1"/>
    <col min="3" max="3" width="11.6640625" style="601" bestFit="1" customWidth="1"/>
    <col min="4" max="4" width="130.83203125" style="597" customWidth="1"/>
    <col min="5" max="16384" width="9.33203125" style="597"/>
  </cols>
  <sheetData>
    <row r="1" spans="1:4">
      <c r="A1" s="599" t="s">
        <v>498</v>
      </c>
      <c r="B1" s="600" t="s">
        <v>1030</v>
      </c>
      <c r="C1" s="599" t="s">
        <v>1031</v>
      </c>
      <c r="D1" s="598" t="s">
        <v>1032</v>
      </c>
    </row>
    <row r="2" spans="1:4">
      <c r="A2" s="601" t="s">
        <v>3412</v>
      </c>
      <c r="B2" s="602">
        <v>39629</v>
      </c>
      <c r="C2" s="601" t="s">
        <v>102</v>
      </c>
      <c r="D2" s="597" t="s">
        <v>3411</v>
      </c>
    </row>
    <row r="3" spans="1:4">
      <c r="D3" s="597" t="s">
        <v>3413</v>
      </c>
    </row>
    <row r="4" spans="1:4">
      <c r="A4" s="601" t="s">
        <v>2693</v>
      </c>
      <c r="B4" s="602">
        <v>39778</v>
      </c>
      <c r="C4" s="601" t="s">
        <v>102</v>
      </c>
      <c r="D4" s="597" t="s">
        <v>147</v>
      </c>
    </row>
    <row r="5" spans="1:4">
      <c r="D5" s="597" t="s">
        <v>3436</v>
      </c>
    </row>
    <row r="6" spans="1:4">
      <c r="A6" s="601" t="s">
        <v>648</v>
      </c>
      <c r="B6" s="602">
        <v>39801</v>
      </c>
      <c r="C6" s="601" t="s">
        <v>649</v>
      </c>
      <c r="D6" s="597" t="s">
        <v>650</v>
      </c>
    </row>
    <row r="7" spans="1:4" ht="25.5">
      <c r="A7" s="601" t="s">
        <v>2123</v>
      </c>
      <c r="B7" s="602">
        <v>39842</v>
      </c>
      <c r="C7" s="601" t="s">
        <v>649</v>
      </c>
      <c r="D7" s="597" t="s">
        <v>3178</v>
      </c>
    </row>
    <row r="8" spans="1:4">
      <c r="D8" s="597" t="s">
        <v>3543</v>
      </c>
    </row>
    <row r="9" spans="1:4" ht="25.5">
      <c r="A9" s="601" t="s">
        <v>1339</v>
      </c>
      <c r="B9" s="603">
        <v>39875</v>
      </c>
      <c r="C9" s="604" t="s">
        <v>1336</v>
      </c>
      <c r="D9" s="605" t="s">
        <v>1337</v>
      </c>
    </row>
    <row r="10" spans="1:4">
      <c r="B10" s="603"/>
      <c r="C10" s="604"/>
      <c r="D10" s="605" t="s">
        <v>1338</v>
      </c>
    </row>
    <row r="11" spans="1:4">
      <c r="A11" s="601" t="s">
        <v>254</v>
      </c>
      <c r="B11" s="602">
        <v>39994</v>
      </c>
      <c r="C11" s="601" t="s">
        <v>649</v>
      </c>
      <c r="D11" s="605" t="s">
        <v>255</v>
      </c>
    </row>
    <row r="12" spans="1:4">
      <c r="D12" s="605" t="s">
        <v>23</v>
      </c>
    </row>
    <row r="13" spans="1:4">
      <c r="A13" s="601" t="s">
        <v>389</v>
      </c>
      <c r="B13" s="602">
        <v>40147</v>
      </c>
      <c r="C13" s="601" t="s">
        <v>649</v>
      </c>
      <c r="D13" s="605" t="s">
        <v>3243</v>
      </c>
    </row>
    <row r="14" spans="1:4">
      <c r="D14" s="605" t="s">
        <v>1474</v>
      </c>
    </row>
    <row r="15" spans="1:4">
      <c r="A15" s="601" t="s">
        <v>1340</v>
      </c>
      <c r="B15" s="602">
        <v>40298</v>
      </c>
      <c r="C15" s="601" t="s">
        <v>649</v>
      </c>
      <c r="D15" s="597" t="s">
        <v>1193</v>
      </c>
    </row>
    <row r="16" spans="1:4">
      <c r="C16" s="606"/>
      <c r="D16" s="597" t="s">
        <v>1341</v>
      </c>
    </row>
    <row r="17" spans="1:4">
      <c r="C17" s="607"/>
      <c r="D17" s="597" t="s">
        <v>1342</v>
      </c>
    </row>
    <row r="18" spans="1:4">
      <c r="A18" s="601" t="s">
        <v>1192</v>
      </c>
      <c r="B18" s="602">
        <v>40421</v>
      </c>
      <c r="C18" s="601" t="s">
        <v>649</v>
      </c>
      <c r="D18" s="597" t="s">
        <v>1194</v>
      </c>
    </row>
    <row r="19" spans="1:4">
      <c r="D19" s="597" t="s">
        <v>1053</v>
      </c>
    </row>
    <row r="20" spans="1:4" ht="25.5">
      <c r="A20" s="601" t="s">
        <v>653</v>
      </c>
      <c r="B20" s="602">
        <v>40539</v>
      </c>
      <c r="C20" s="601" t="s">
        <v>649</v>
      </c>
      <c r="D20" s="597" t="s">
        <v>444</v>
      </c>
    </row>
    <row r="21" spans="1:4">
      <c r="D21" s="597" t="s">
        <v>652</v>
      </c>
    </row>
    <row r="22" spans="1:4" ht="25.5">
      <c r="A22" s="601" t="s">
        <v>2505</v>
      </c>
      <c r="B22" s="602">
        <v>40753</v>
      </c>
      <c r="C22" s="601" t="s">
        <v>649</v>
      </c>
      <c r="D22" s="597" t="s">
        <v>1495</v>
      </c>
    </row>
    <row r="23" spans="1:4" ht="25.5">
      <c r="A23" s="601" t="s">
        <v>766</v>
      </c>
      <c r="B23" s="602">
        <v>41024</v>
      </c>
      <c r="C23" s="601" t="s">
        <v>3259</v>
      </c>
      <c r="D23" s="597" t="s">
        <v>73</v>
      </c>
    </row>
    <row r="24" spans="1:4">
      <c r="D24" s="597" t="s">
        <v>759</v>
      </c>
    </row>
    <row r="25" spans="1:4">
      <c r="D25" s="597" t="s">
        <v>758</v>
      </c>
    </row>
    <row r="26" spans="1:4">
      <c r="D26" s="597" t="s">
        <v>3261</v>
      </c>
    </row>
    <row r="27" spans="1:4">
      <c r="D27" s="3" t="s">
        <v>3260</v>
      </c>
    </row>
    <row r="28" spans="1:4">
      <c r="A28" s="601" t="s">
        <v>2280</v>
      </c>
      <c r="B28" s="602">
        <v>41229</v>
      </c>
      <c r="C28" s="601" t="s">
        <v>2651</v>
      </c>
      <c r="D28" s="597" t="s">
        <v>2278</v>
      </c>
    </row>
    <row r="29" spans="1:4">
      <c r="D29" s="597" t="s">
        <v>2277</v>
      </c>
    </row>
    <row r="30" spans="1:4">
      <c r="D30" s="597" t="s">
        <v>2279</v>
      </c>
    </row>
    <row r="31" spans="1:4">
      <c r="D31" s="3" t="s">
        <v>2281</v>
      </c>
    </row>
    <row r="32" spans="1:4" ht="25.5">
      <c r="A32" s="601" t="s">
        <v>3609</v>
      </c>
      <c r="B32" s="602">
        <v>41446</v>
      </c>
      <c r="C32" s="601" t="s">
        <v>3080</v>
      </c>
      <c r="D32" s="597" t="s">
        <v>3081</v>
      </c>
    </row>
    <row r="33" spans="1:4">
      <c r="D33" s="597" t="s">
        <v>3608</v>
      </c>
    </row>
    <row r="34" spans="1:4">
      <c r="A34" s="601" t="s">
        <v>2572</v>
      </c>
      <c r="B34" s="602">
        <v>41607</v>
      </c>
      <c r="C34" s="601" t="s">
        <v>3080</v>
      </c>
      <c r="D34" s="597" t="s">
        <v>2676</v>
      </c>
    </row>
    <row r="35" spans="1:4">
      <c r="D35" s="597" t="s">
        <v>2677</v>
      </c>
    </row>
    <row r="36" spans="1:4">
      <c r="D36" s="597" t="s">
        <v>2678</v>
      </c>
    </row>
    <row r="37" spans="1:4">
      <c r="D37" s="597" t="s">
        <v>2679</v>
      </c>
    </row>
    <row r="38" spans="1:4">
      <c r="D38" s="597" t="s">
        <v>3644</v>
      </c>
    </row>
    <row r="39" spans="1:4">
      <c r="D39" s="597" t="s">
        <v>2680</v>
      </c>
    </row>
    <row r="40" spans="1:4">
      <c r="D40" s="597" t="s">
        <v>2574</v>
      </c>
    </row>
    <row r="41" spans="1:4">
      <c r="A41" s="601" t="s">
        <v>2573</v>
      </c>
      <c r="B41" s="602">
        <v>41774</v>
      </c>
      <c r="C41" s="601" t="s">
        <v>3080</v>
      </c>
      <c r="D41" s="597" t="s">
        <v>2185</v>
      </c>
    </row>
    <row r="42" spans="1:4">
      <c r="D42" s="597" t="s">
        <v>3796</v>
      </c>
    </row>
    <row r="43" spans="1:4">
      <c r="D43" s="597" t="s">
        <v>3797</v>
      </c>
    </row>
    <row r="44" spans="1:4">
      <c r="D44" s="597" t="s">
        <v>3798</v>
      </c>
    </row>
    <row r="45" spans="1:4">
      <c r="D45" s="597" t="s">
        <v>3799</v>
      </c>
    </row>
    <row r="46" spans="1:4">
      <c r="D46" s="597" t="s">
        <v>3800</v>
      </c>
    </row>
    <row r="47" spans="1:4">
      <c r="D47" s="597" t="s">
        <v>3801</v>
      </c>
    </row>
    <row r="48" spans="1:4">
      <c r="D48" s="597" t="s">
        <v>3802</v>
      </c>
    </row>
    <row r="49" spans="1:4">
      <c r="D49" s="597" t="s">
        <v>3803</v>
      </c>
    </row>
    <row r="50" spans="1:4" ht="25.5">
      <c r="A50" s="601" t="s">
        <v>927</v>
      </c>
      <c r="B50" s="602">
        <v>41998</v>
      </c>
      <c r="C50" s="601" t="s">
        <v>928</v>
      </c>
      <c r="D50" s="597" t="s">
        <v>929</v>
      </c>
    </row>
    <row r="51" spans="1:4">
      <c r="D51" s="597" t="s">
        <v>1136</v>
      </c>
    </row>
    <row r="52" spans="1:4">
      <c r="A52" s="601" t="s">
        <v>2183</v>
      </c>
      <c r="B52" s="602">
        <v>42217</v>
      </c>
      <c r="C52" s="601" t="s">
        <v>2184</v>
      </c>
      <c r="D52" s="597" t="s">
        <v>2186</v>
      </c>
    </row>
    <row r="53" spans="1:4">
      <c r="D53" s="597" t="s">
        <v>1428</v>
      </c>
    </row>
    <row r="54" spans="1:4">
      <c r="A54" s="601" t="s">
        <v>3269</v>
      </c>
      <c r="B54" s="602">
        <v>42384</v>
      </c>
      <c r="C54" s="601" t="s">
        <v>2184</v>
      </c>
      <c r="D54" s="597"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1:DF37"/>
  <sheetViews>
    <sheetView showGridLines="0" showRowColHeaders="0" workbookViewId="0">
      <selection activeCell="C6" sqref="C6"/>
    </sheetView>
  </sheetViews>
  <sheetFormatPr baseColWidth="10" defaultColWidth="9.33203125" defaultRowHeight="12.75"/>
  <cols>
    <col min="1" max="1" width="4.1640625" style="558" customWidth="1"/>
    <col min="2" max="2" width="8.83203125" style="558" customWidth="1"/>
    <col min="3" max="3" width="20.83203125" style="558" customWidth="1"/>
    <col min="4" max="13" width="11.83203125" style="558" customWidth="1"/>
    <col min="14" max="14" width="4.83203125" style="558" customWidth="1"/>
    <col min="15" max="15" width="12.83203125" style="558" customWidth="1"/>
    <col min="16" max="110" width="4.83203125" style="619" customWidth="1"/>
    <col min="111" max="16384" width="9.33203125" style="558"/>
  </cols>
  <sheetData>
    <row r="1" spans="2:110" ht="20.25" customHeight="1">
      <c r="B1" s="810" t="s">
        <v>4019</v>
      </c>
      <c r="G1" s="596" t="str">
        <f>'Axis Data'!D1</f>
        <v>FANUC Payload Checker ver.7.41(2016/1/15)</v>
      </c>
      <c r="AA1" s="620"/>
    </row>
    <row r="2" spans="2:110" ht="13.5" customHeight="1" thickBot="1">
      <c r="X2" s="619" t="s">
        <v>2652</v>
      </c>
    </row>
    <row r="3" spans="2:110" ht="16.5" customHeight="1" thickBot="1">
      <c r="B3" s="811" t="s">
        <v>4020</v>
      </c>
      <c r="C3" s="559"/>
      <c r="D3" s="559"/>
      <c r="E3" s="559"/>
      <c r="F3" s="559"/>
      <c r="G3" s="559"/>
      <c r="H3" s="559"/>
      <c r="I3" s="559"/>
      <c r="J3" s="559"/>
      <c r="K3" s="559"/>
      <c r="L3" s="559"/>
      <c r="M3" s="560"/>
      <c r="N3" s="941" t="s">
        <v>4025</v>
      </c>
      <c r="X3" s="619">
        <f>SUM(X5:X14)</f>
        <v>0</v>
      </c>
      <c r="Z3" s="619" t="s">
        <v>3167</v>
      </c>
      <c r="AA3" s="619">
        <f>IF(Y4^2+Z4^2+AA4^2=0,0.1,SQRT(Y4^2+Z4^2+AA4^2)/SQRT(3))</f>
        <v>0.1</v>
      </c>
      <c r="AE3" s="619" t="s">
        <v>3168</v>
      </c>
      <c r="AG3" s="619" t="s">
        <v>3169</v>
      </c>
      <c r="AJ3" s="619" t="s">
        <v>3170</v>
      </c>
      <c r="AL3" s="619" t="s">
        <v>3171</v>
      </c>
      <c r="AO3" s="619" t="s">
        <v>3465</v>
      </c>
      <c r="AQ3" s="619" t="s">
        <v>3172</v>
      </c>
      <c r="AT3" s="619" t="s">
        <v>235</v>
      </c>
      <c r="AV3" s="619" t="s">
        <v>3173</v>
      </c>
      <c r="AY3" s="619" t="s">
        <v>236</v>
      </c>
      <c r="BA3" s="619" t="s">
        <v>3174</v>
      </c>
      <c r="BD3" s="619" t="s">
        <v>237</v>
      </c>
      <c r="BF3" s="619" t="s">
        <v>1927</v>
      </c>
      <c r="BI3" s="619" t="s">
        <v>238</v>
      </c>
      <c r="BK3" s="619" t="s">
        <v>1928</v>
      </c>
      <c r="BN3" s="619" t="s">
        <v>239</v>
      </c>
      <c r="BP3" s="619" t="s">
        <v>1929</v>
      </c>
      <c r="BS3" s="619" t="s">
        <v>3134</v>
      </c>
      <c r="BU3" s="619" t="s">
        <v>1930</v>
      </c>
      <c r="BW3" s="619" t="s">
        <v>1931</v>
      </c>
      <c r="CF3" s="619" t="s">
        <v>1932</v>
      </c>
      <c r="CW3" s="619" t="s">
        <v>1933</v>
      </c>
      <c r="DF3" s="619" t="s">
        <v>1931</v>
      </c>
    </row>
    <row r="4" spans="2:110" ht="15.75" customHeight="1" thickBot="1">
      <c r="B4" s="812" t="s">
        <v>4021</v>
      </c>
      <c r="C4" s="561" t="str">
        <f>C16</f>
        <v>Name</v>
      </c>
      <c r="D4" s="562" t="s">
        <v>3839</v>
      </c>
      <c r="E4" s="562" t="s">
        <v>2662</v>
      </c>
      <c r="F4" s="562" t="s">
        <v>764</v>
      </c>
      <c r="G4" s="562" t="s">
        <v>765</v>
      </c>
      <c r="H4" s="562" t="s">
        <v>3832</v>
      </c>
      <c r="I4" s="562" t="s">
        <v>3833</v>
      </c>
      <c r="J4" s="562" t="s">
        <v>3834</v>
      </c>
      <c r="K4" s="563" t="s">
        <v>3835</v>
      </c>
      <c r="L4" s="563" t="s">
        <v>3836</v>
      </c>
      <c r="M4" s="937" t="s">
        <v>3837</v>
      </c>
      <c r="N4" s="942" t="s">
        <v>3838</v>
      </c>
      <c r="P4" s="621" t="s">
        <v>1806</v>
      </c>
      <c r="Q4" s="621" t="s">
        <v>1807</v>
      </c>
      <c r="R4" s="621" t="s">
        <v>1808</v>
      </c>
      <c r="S4" s="621" t="s">
        <v>1809</v>
      </c>
      <c r="T4" s="621" t="s">
        <v>1810</v>
      </c>
      <c r="U4" s="621" t="s">
        <v>1811</v>
      </c>
      <c r="X4" s="619" t="s">
        <v>1934</v>
      </c>
      <c r="Y4" s="619">
        <f>MAX(Y5:Y14)-MIN(Y5:Y14)</f>
        <v>0</v>
      </c>
      <c r="Z4" s="619">
        <f>MAX(Z5:Z14)-MIN(Z5:Z14)</f>
        <v>0</v>
      </c>
      <c r="AA4" s="619">
        <f>MAX(AA5:AA14)-MIN(AA5:AA14)</f>
        <v>0</v>
      </c>
      <c r="AC4" s="619" t="s">
        <v>1935</v>
      </c>
      <c r="AD4" s="619" t="s">
        <v>1936</v>
      </c>
      <c r="AE4" s="619" t="s">
        <v>1937</v>
      </c>
      <c r="AF4" s="619" t="s">
        <v>1938</v>
      </c>
      <c r="AG4" s="619" t="s">
        <v>1932</v>
      </c>
      <c r="AH4" s="619" t="s">
        <v>1933</v>
      </c>
      <c r="AI4" s="619" t="s">
        <v>1936</v>
      </c>
      <c r="AJ4" s="619" t="s">
        <v>1937</v>
      </c>
      <c r="AK4" s="619" t="s">
        <v>1938</v>
      </c>
      <c r="AL4" s="619" t="s">
        <v>1932</v>
      </c>
      <c r="AM4" s="619" t="s">
        <v>1933</v>
      </c>
      <c r="AN4" s="619" t="s">
        <v>1936</v>
      </c>
      <c r="AO4" s="619" t="s">
        <v>1937</v>
      </c>
      <c r="AP4" s="619" t="s">
        <v>1938</v>
      </c>
      <c r="AQ4" s="619" t="s">
        <v>1932</v>
      </c>
      <c r="AR4" s="619" t="s">
        <v>1933</v>
      </c>
      <c r="AS4" s="619" t="s">
        <v>1936</v>
      </c>
      <c r="AT4" s="619" t="s">
        <v>1937</v>
      </c>
      <c r="AU4" s="619" t="s">
        <v>1938</v>
      </c>
      <c r="AV4" s="619" t="s">
        <v>1932</v>
      </c>
      <c r="AW4" s="619" t="s">
        <v>1933</v>
      </c>
      <c r="AX4" s="619" t="s">
        <v>1936</v>
      </c>
      <c r="AY4" s="619" t="s">
        <v>1937</v>
      </c>
      <c r="AZ4" s="619" t="s">
        <v>1938</v>
      </c>
      <c r="BA4" s="619" t="s">
        <v>1932</v>
      </c>
      <c r="BB4" s="619" t="s">
        <v>1933</v>
      </c>
      <c r="BC4" s="619" t="s">
        <v>1936</v>
      </c>
      <c r="BD4" s="619" t="s">
        <v>1937</v>
      </c>
      <c r="BE4" s="619" t="s">
        <v>1938</v>
      </c>
      <c r="BF4" s="619" t="s">
        <v>1932</v>
      </c>
      <c r="BG4" s="619" t="s">
        <v>1933</v>
      </c>
      <c r="BH4" s="619" t="s">
        <v>1936</v>
      </c>
      <c r="BI4" s="619" t="s">
        <v>1937</v>
      </c>
      <c r="BJ4" s="619" t="s">
        <v>1938</v>
      </c>
      <c r="BK4" s="619" t="s">
        <v>1932</v>
      </c>
      <c r="BL4" s="619" t="s">
        <v>1933</v>
      </c>
      <c r="BM4" s="619" t="s">
        <v>1936</v>
      </c>
      <c r="BN4" s="619" t="s">
        <v>1937</v>
      </c>
      <c r="BO4" s="619" t="s">
        <v>1938</v>
      </c>
      <c r="BP4" s="619" t="s">
        <v>1932</v>
      </c>
      <c r="BQ4" s="619" t="s">
        <v>1933</v>
      </c>
      <c r="BR4" s="619" t="s">
        <v>1936</v>
      </c>
      <c r="BS4" s="619" t="s">
        <v>1937</v>
      </c>
      <c r="BT4" s="619" t="s">
        <v>1938</v>
      </c>
      <c r="BU4" s="619" t="s">
        <v>1932</v>
      </c>
      <c r="BV4" s="619" t="s">
        <v>1933</v>
      </c>
      <c r="BX4" s="619" t="s">
        <v>3168</v>
      </c>
      <c r="BY4" s="619" t="s">
        <v>3170</v>
      </c>
      <c r="BZ4" s="619" t="s">
        <v>3465</v>
      </c>
      <c r="CA4" s="619" t="s">
        <v>235</v>
      </c>
      <c r="CB4" s="619" t="s">
        <v>236</v>
      </c>
      <c r="CC4" s="619" t="s">
        <v>3134</v>
      </c>
      <c r="CD4" s="619" t="s">
        <v>239</v>
      </c>
      <c r="CE4" s="619" t="s">
        <v>238</v>
      </c>
      <c r="CF4" s="619" t="s">
        <v>237</v>
      </c>
      <c r="CG4" s="619" t="s">
        <v>3170</v>
      </c>
      <c r="CH4" s="619" t="s">
        <v>236</v>
      </c>
      <c r="CI4" s="619" t="s">
        <v>3134</v>
      </c>
      <c r="CJ4" s="619" t="s">
        <v>237</v>
      </c>
      <c r="CK4" s="619" t="s">
        <v>238</v>
      </c>
      <c r="CL4" s="619" t="s">
        <v>3465</v>
      </c>
      <c r="CM4" s="619" t="s">
        <v>235</v>
      </c>
      <c r="CN4" s="619" t="s">
        <v>239</v>
      </c>
      <c r="CO4" s="619" t="s">
        <v>3168</v>
      </c>
      <c r="CP4" s="619" t="s">
        <v>3170</v>
      </c>
      <c r="CQ4" s="619" t="s">
        <v>3465</v>
      </c>
      <c r="CR4" s="619" t="s">
        <v>235</v>
      </c>
      <c r="CS4" s="619" t="s">
        <v>236</v>
      </c>
      <c r="CT4" s="619" t="s">
        <v>3134</v>
      </c>
      <c r="CU4" s="619" t="s">
        <v>239</v>
      </c>
      <c r="CV4" s="619" t="s">
        <v>238</v>
      </c>
      <c r="CW4" s="619" t="s">
        <v>237</v>
      </c>
      <c r="CX4" s="619" t="s">
        <v>3170</v>
      </c>
      <c r="CY4" s="619" t="s">
        <v>236</v>
      </c>
      <c r="CZ4" s="619" t="s">
        <v>3134</v>
      </c>
      <c r="DA4" s="619" t="s">
        <v>237</v>
      </c>
      <c r="DB4" s="619" t="s">
        <v>238</v>
      </c>
      <c r="DC4" s="619" t="s">
        <v>3465</v>
      </c>
      <c r="DD4" s="619" t="s">
        <v>235</v>
      </c>
      <c r="DE4" s="619" t="s">
        <v>239</v>
      </c>
    </row>
    <row r="5" spans="2:110">
      <c r="B5" s="564">
        <v>1</v>
      </c>
      <c r="C5" s="725"/>
      <c r="D5" s="565"/>
      <c r="E5" s="565"/>
      <c r="F5" s="565"/>
      <c r="G5" s="565"/>
      <c r="H5" s="565"/>
      <c r="I5" s="565"/>
      <c r="J5" s="565"/>
      <c r="K5" s="566"/>
      <c r="L5" s="566"/>
      <c r="M5" s="935"/>
      <c r="N5" s="938"/>
      <c r="P5" s="619">
        <f t="shared" ref="P5:P14" si="0">$D5*E5</f>
        <v>0</v>
      </c>
      <c r="Q5" s="619">
        <f t="shared" ref="Q5:Q14" si="1">$D5*F5</f>
        <v>0</v>
      </c>
      <c r="R5" s="619">
        <f t="shared" ref="R5:R14" si="2">$D5*G5</f>
        <v>0</v>
      </c>
      <c r="S5" s="619" t="e">
        <f t="shared" ref="S5:S14" si="3">$D5*((F5-$F$18)^2+(G5-$G$18)^2)</f>
        <v>#DIV/0!</v>
      </c>
      <c r="T5" s="619" t="e">
        <f t="shared" ref="T5:T14" si="4">$D5*((E5-$E$18)^2+(G5-$G$18)^2)</f>
        <v>#DIV/0!</v>
      </c>
      <c r="U5" s="619" t="e">
        <f t="shared" ref="U5:U14" si="5">$D5*((E5-$E$18)^2+(F5-$F$18)^2)</f>
        <v>#DIV/0!</v>
      </c>
      <c r="X5" s="619">
        <f t="shared" ref="X5:X14" si="6">IF(D5=0,0,1)</f>
        <v>0</v>
      </c>
      <c r="Y5" s="619">
        <f t="shared" ref="Y5:AA14" si="7">IF($X$18=0,E5,E5+IF(E5&lt;0,-K5,K5)/2)*$X5</f>
        <v>0</v>
      </c>
      <c r="Z5" s="619">
        <f t="shared" si="7"/>
        <v>0</v>
      </c>
      <c r="AA5" s="619">
        <f t="shared" si="7"/>
        <v>0</v>
      </c>
      <c r="AC5" s="619">
        <v>1</v>
      </c>
      <c r="AD5" s="619">
        <f t="shared" ref="AD5:AF14" si="8">IF($X5,E5,0)</f>
        <v>0</v>
      </c>
      <c r="AE5" s="619">
        <f t="shared" si="8"/>
        <v>0</v>
      </c>
      <c r="AF5" s="619">
        <f t="shared" si="8"/>
        <v>0</v>
      </c>
      <c r="AG5" s="622">
        <f t="shared" ref="AG5:AG14" si="9">IF($N$34="X-Y",AE5*$AA$21-AF5*$Z$21,IF($N$34="Y-Z",-AD5*$Z$21+AF5*$AA$21,AD5*$AA$21-AE5*$Z$21))-$AG$17</f>
        <v>0</v>
      </c>
      <c r="AH5" s="622">
        <f t="shared" ref="AH5:AH14" si="10">IF($N$34="X-Y",AD5*$AA$22+AE5*$Z$21*$Z$22+AF5*$AA$21*$Z$22,IF($N$34="Y-Z",AD5*$AA$21*$Z$22+AE5*$AA$22+AF5*$Z$21*$Z$22,AD5*$Z$21*$Z$22+AE5*$AA$21*$Z$22+AF5*$AA$22))-$AH$17</f>
        <v>0</v>
      </c>
      <c r="AI5" s="619">
        <f t="shared" ref="AI5:AI14" si="11">IF($X5,$E5+$K5/2,0)*$X$18</f>
        <v>0</v>
      </c>
      <c r="AJ5" s="619">
        <f t="shared" ref="AJ5:AJ14" si="12">IF($X5,$F5-$L5/2,0)*$X$18</f>
        <v>0</v>
      </c>
      <c r="AK5" s="619">
        <f t="shared" ref="AK5:AK14" si="13">IF($X5,$G5-$M5/2,0)*$X$18</f>
        <v>0</v>
      </c>
      <c r="AL5" s="622">
        <f t="shared" ref="AL5:AL14" si="14">IF($N$34="X-Y",AJ5*$AA$21-AK5*$Z$21,IF($N$34="Y-Z",-AI5*$Z$21+AK5*$AA$21,AI5*$AA$21-AJ5*$Z$21))-$AG$17</f>
        <v>0</v>
      </c>
      <c r="AM5" s="622">
        <f t="shared" ref="AM5:AM14" si="15">IF($N$34="X-Y",AI5*$AA$22+AJ5*$Z$21*$Z$22+AK5*$AA$21*$Z$22,IF($N$34="Y-Z",AI5*$AA$21*$Z$22+AJ5*$AA$22+AK5*$Z$21*$Z$22,AI5*$Z$21*$Z$22+AJ5*$AA$21*$Z$22+AK5*$AA$22))-$AH$17</f>
        <v>0</v>
      </c>
      <c r="AN5" s="619">
        <f t="shared" ref="AN5:AN14" si="16">IF($X5,$E5+$K5/2,0)*$X$18</f>
        <v>0</v>
      </c>
      <c r="AO5" s="619">
        <f t="shared" ref="AO5:AO14" si="17">IF($X5,$F5+$L5/2,0)*$X$18</f>
        <v>0</v>
      </c>
      <c r="AP5" s="619">
        <f t="shared" ref="AP5:AP14" si="18">IF($X5,$G5-$M5/2,0)*$X$18</f>
        <v>0</v>
      </c>
      <c r="AQ5" s="622">
        <f t="shared" ref="AQ5:AQ14" si="19">IF($N$34="X-Y",AO5*$AA$21-AP5*$Z$21,IF($N$34="Y-Z",-AN5*$Z$21+AP5*$AA$21,AN5*$AA$21-AO5*$Z$21))-$AG$17</f>
        <v>0</v>
      </c>
      <c r="AR5" s="622">
        <f t="shared" ref="AR5:AR14" si="20">IF($N$34="X-Y",AN5*$AA$22+AO5*$Z$21*$Z$22+AP5*$AA$21*$Z$22,IF($N$34="Y-Z",AN5*$AA$21*$Z$22+AO5*$AA$22+AP5*$Z$21*$Z$22,AN5*$Z$21*$Z$22+AO5*$AA$21*$Z$22+AP5*$AA$22))-$AH$17</f>
        <v>0</v>
      </c>
      <c r="AS5" s="619">
        <f t="shared" ref="AS5:AS14" si="21">IF($X5,$E5+$K5/2,0)*$X$18</f>
        <v>0</v>
      </c>
      <c r="AT5" s="619">
        <f t="shared" ref="AT5:AT14" si="22">IF($X5,$F5+$L5/2,0)*$X$18</f>
        <v>0</v>
      </c>
      <c r="AU5" s="619">
        <f t="shared" ref="AU5:AU14" si="23">IF($X5,$G5+$M5/2,0)*$X$18</f>
        <v>0</v>
      </c>
      <c r="AV5" s="622">
        <f t="shared" ref="AV5:AV14" si="24">IF($N$34="X-Y",AT5*$AA$21-AU5*$Z$21,IF($N$34="Y-Z",-AS5*$Z$21+AU5*$AA$21,AS5*$AA$21-AT5*$Z$21))-$AG$17</f>
        <v>0</v>
      </c>
      <c r="AW5" s="622">
        <f t="shared" ref="AW5:AW14" si="25">IF($N$34="X-Y",AS5*$AA$22+AT5*$Z$21*$Z$22+AU5*$AA$21*$Z$22,IF($N$34="Y-Z",AS5*$AA$21*$Z$22+AT5*$AA$22+AU5*$Z$21*$Z$22,AS5*$Z$21*$Z$22+AT5*$AA$21*$Z$22+AU5*$AA$22))-$AH$17</f>
        <v>0</v>
      </c>
      <c r="AX5" s="619">
        <f t="shared" ref="AX5:AX14" si="26">IF($X5,$E5+$K5/2,0)*$X$18</f>
        <v>0</v>
      </c>
      <c r="AY5" s="619">
        <f t="shared" ref="AY5:AY14" si="27">IF($X5,$F5-$L5/2,0)*$X$18</f>
        <v>0</v>
      </c>
      <c r="AZ5" s="619">
        <f t="shared" ref="AZ5:AZ14" si="28">IF($X5,$G5+$M5/2,0)*$X$18</f>
        <v>0</v>
      </c>
      <c r="BA5" s="622">
        <f t="shared" ref="BA5:BA14" si="29">IF($N$34="X-Y",AY5*$AA$21-AZ5*$Z$21,IF($N$34="Y-Z",-AX5*$Z$21+AZ5*$AA$21,AX5*$AA$21-AY5*$Z$21))-$AG$17</f>
        <v>0</v>
      </c>
      <c r="BB5" s="622">
        <f t="shared" ref="BB5:BB14" si="30">IF($N$34="X-Y",AX5*$AA$22+AY5*$Z$21*$Z$22+AZ5*$AA$21*$Z$22,IF($N$34="Y-Z",AX5*$AA$21*$Z$22+AY5*$AA$22+AZ5*$Z$21*$Z$22,AX5*$Z$21*$Z$22+AY5*$AA$21*$Z$22+AZ5*$AA$22))-$AH$17</f>
        <v>0</v>
      </c>
      <c r="BC5" s="619">
        <f t="shared" ref="BC5:BC14" si="31">IF($X5,$E5-$K5/2,0)*$X$18</f>
        <v>0</v>
      </c>
      <c r="BD5" s="619">
        <f t="shared" ref="BD5:BD14" si="32">IF($X5,$F5-$L5/2,0)*$X$18</f>
        <v>0</v>
      </c>
      <c r="BE5" s="619">
        <f t="shared" ref="BE5:BE14" si="33">IF($X5,$G5-$M5/2,0)*$X$18</f>
        <v>0</v>
      </c>
      <c r="BF5" s="622">
        <f t="shared" ref="BF5:BF14" si="34">IF($N$34="X-Y",BD5*$AA$21-BE5*$Z$21,IF($N$34="Y-Z",-BC5*$Z$21+BE5*$AA$21,BC5*$AA$21-BD5*$Z$21))-$AG$17</f>
        <v>0</v>
      </c>
      <c r="BG5" s="622">
        <f t="shared" ref="BG5:BG14" si="35">IF($N$34="X-Y",BC5*$AA$22+BD5*$Z$21*$Z$22+BE5*$AA$21*$Z$22,IF($N$34="Y-Z",BC5*$AA$21*$Z$22+BD5*$AA$22+BE5*$Z$21*$Z$22,BC5*$Z$21*$Z$22+BD5*$AA$21*$Z$22+BE5*$AA$22))-$AH$17</f>
        <v>0</v>
      </c>
      <c r="BH5" s="619">
        <f t="shared" ref="BH5:BH14" si="36">IF($X5,$E5-$K5/2,0)*$X$18</f>
        <v>0</v>
      </c>
      <c r="BI5" s="619">
        <f t="shared" ref="BI5:BI14" si="37">IF($X5,$F5+$L5/2,0)*$X$18</f>
        <v>0</v>
      </c>
      <c r="BJ5" s="619">
        <f t="shared" ref="BJ5:BJ14" si="38">IF($X5,$G5-$M5/2,0)*$X$18</f>
        <v>0</v>
      </c>
      <c r="BK5" s="622">
        <f t="shared" ref="BK5:BK14" si="39">IF($N$34="X-Y",BI5*$AA$21-BJ5*$Z$21,IF($N$34="Y-Z",-BH5*$Z$21+BJ5*$AA$21,BH5*$AA$21-BI5*$Z$21))-$AG$17</f>
        <v>0</v>
      </c>
      <c r="BL5" s="622">
        <f t="shared" ref="BL5:BL14" si="40">IF($N$34="X-Y",BH5*$AA$22+BI5*$Z$21*$Z$22+BJ5*$AA$21*$Z$22,IF($N$34="Y-Z",BH5*$AA$21*$Z$22+BI5*$AA$22+BJ5*$Z$21*$Z$22,BH5*$Z$21*$Z$22+BI5*$AA$21*$Z$22+BJ5*$AA$22))-$AH$17</f>
        <v>0</v>
      </c>
      <c r="BM5" s="619">
        <f t="shared" ref="BM5:BM14" si="41">IF($X5,$E5-$K5/2,0)*$X$18</f>
        <v>0</v>
      </c>
      <c r="BN5" s="619">
        <f t="shared" ref="BN5:BN14" si="42">IF($X5,$F5+$L5/2,0)*$X$18</f>
        <v>0</v>
      </c>
      <c r="BO5" s="619">
        <f t="shared" ref="BO5:BO14" si="43">IF($X5,$G5+$M5/2,0)*$X$18</f>
        <v>0</v>
      </c>
      <c r="BP5" s="622">
        <f t="shared" ref="BP5:BP14" si="44">IF($N$34="X-Y",BN5*$AA$21-BO5*$Z$21,IF($N$34="Y-Z",-BM5*$Z$21+BO5*$AA$21,BM5*$AA$21-BN5*$Z$21))-$AG$17</f>
        <v>0</v>
      </c>
      <c r="BQ5" s="622">
        <f t="shared" ref="BQ5:BQ14" si="45">IF($N$34="X-Y",BM5*$AA$22+BN5*$Z$21*$Z$22+BO5*$AA$21*$Z$22,IF($N$34="Y-Z",BM5*$AA$21*$Z$22+BN5*$AA$22+BO5*$Z$21*$Z$22,BM5*$Z$21*$Z$22+BN5*$AA$21*$Z$22+BO5*$AA$22))-$AH$17</f>
        <v>0</v>
      </c>
      <c r="BR5" s="619">
        <f t="shared" ref="BR5:BR14" si="46">IF($X5,$E5-$K5/2,0)*$X$18</f>
        <v>0</v>
      </c>
      <c r="BS5" s="619">
        <f t="shared" ref="BS5:BS14" si="47">IF($X5,$F5-$L5/2,0)*$X$18</f>
        <v>0</v>
      </c>
      <c r="BT5" s="619">
        <f t="shared" ref="BT5:BT14" si="48">IF($X5,$G5+$M5/2,0)*$X$18</f>
        <v>0</v>
      </c>
      <c r="BU5" s="622">
        <f t="shared" ref="BU5:BU14" si="49">IF($N$34="X-Y",BS5*$AA$21-BT5*$Z$21,IF($N$34="Y-Z",-BR5*$Z$21+BT5*$AA$21,BR5*$AA$21-BS5*$Z$21))-$AG$17</f>
        <v>0</v>
      </c>
      <c r="BV5" s="622">
        <f t="shared" ref="BV5:BV14" si="50">IF($N$34="X-Y",BR5*$AA$22+BS5*$Z$21*$Z$22+BT5*$AA$21*$Z$22,IF($N$34="Y-Z",BR5*$AA$21*$Z$22+BS5*$AA$22+BT5*$Z$21*$Z$22,BR5*$Z$21*$Z$22+BS5*$AA$21*$Z$22+BT5*$AA$22))-$AH$17</f>
        <v>0</v>
      </c>
      <c r="BW5" s="619" t="str">
        <f>IF($Z$28,"1","")</f>
        <v>1</v>
      </c>
      <c r="BX5" s="619">
        <f t="shared" ref="BX5:BX14" si="51">IF(AND($X5=1,$Z$29=1),$AG5,$AA$3/$AA$18*100*10)/$AA$19</f>
        <v>10</v>
      </c>
      <c r="BY5" s="619">
        <f>$AL5/$AA$19</f>
        <v>0</v>
      </c>
      <c r="BZ5" s="619">
        <f>$AQ5/$AA$19</f>
        <v>0</v>
      </c>
      <c r="CA5" s="619">
        <f>$AV5/$AA$19</f>
        <v>0</v>
      </c>
      <c r="CB5" s="619">
        <f>$BA5/$AA$19</f>
        <v>0</v>
      </c>
      <c r="CC5" s="619">
        <f>$BU5/$AA$19</f>
        <v>0</v>
      </c>
      <c r="CD5" s="619">
        <f>$BP5/$AA$19</f>
        <v>0</v>
      </c>
      <c r="CE5" s="619">
        <f>$BK5/$AA$19</f>
        <v>0</v>
      </c>
      <c r="CF5" s="619">
        <f>$BF5/$AA$19</f>
        <v>0</v>
      </c>
      <c r="CG5" s="619">
        <f>$AL5/$AA$19</f>
        <v>0</v>
      </c>
      <c r="CH5" s="619">
        <f>$BA5/$AA$19</f>
        <v>0</v>
      </c>
      <c r="CI5" s="619">
        <f>$BU5/$AA$19</f>
        <v>0</v>
      </c>
      <c r="CJ5" s="619">
        <f>$BF5/$AA$19</f>
        <v>0</v>
      </c>
      <c r="CK5" s="619">
        <f>$BK5/$AA$19</f>
        <v>0</v>
      </c>
      <c r="CL5" s="619">
        <f>$AQ5/$AA$19</f>
        <v>0</v>
      </c>
      <c r="CM5" s="619">
        <f>$AV5/$AA$19</f>
        <v>0</v>
      </c>
      <c r="CN5" s="619">
        <f>$BP5/$AA$19</f>
        <v>0</v>
      </c>
      <c r="CO5" s="619">
        <f t="shared" ref="CO5:CO14" si="52">IF(AND($X5=1,$Z$29=1),$AH5,0)/$AA$19</f>
        <v>0</v>
      </c>
      <c r="CP5" s="619">
        <f>$AM5/$AA$19</f>
        <v>0</v>
      </c>
      <c r="CQ5" s="619">
        <f>$AR5/$AA$19</f>
        <v>0</v>
      </c>
      <c r="CR5" s="619">
        <f>$AW5/$AA$19</f>
        <v>0</v>
      </c>
      <c r="CS5" s="619">
        <f>$BB5/$AA$19</f>
        <v>0</v>
      </c>
      <c r="CT5" s="619">
        <f>$BV5/$AA$19</f>
        <v>0</v>
      </c>
      <c r="CU5" s="619">
        <f>$BQ5/$AA$19</f>
        <v>0</v>
      </c>
      <c r="CV5" s="619">
        <f>$BL5/$AA$19</f>
        <v>0</v>
      </c>
      <c r="CW5" s="619">
        <f>$BG5/$AA$19</f>
        <v>0</v>
      </c>
      <c r="CX5" s="619">
        <f>$AM5/$AA$19</f>
        <v>0</v>
      </c>
      <c r="CY5" s="619">
        <f>$BB5/$AA$19</f>
        <v>0</v>
      </c>
      <c r="CZ5" s="619">
        <f>$BV5/$AA$19</f>
        <v>0</v>
      </c>
      <c r="DA5" s="619">
        <f>$BG5/$AA$19</f>
        <v>0</v>
      </c>
      <c r="DB5" s="619">
        <f>$BL5/$AA$19</f>
        <v>0</v>
      </c>
      <c r="DC5" s="619">
        <f>$AR5/$AA$19</f>
        <v>0</v>
      </c>
      <c r="DD5" s="619">
        <f>$AW5/$AA$19</f>
        <v>0</v>
      </c>
      <c r="DE5" s="619">
        <f>$BQ5/$AA$19</f>
        <v>0</v>
      </c>
      <c r="DF5" s="619">
        <v>1</v>
      </c>
    </row>
    <row r="6" spans="2:110">
      <c r="B6" s="564">
        <v>2</v>
      </c>
      <c r="C6" s="725"/>
      <c r="D6" s="565"/>
      <c r="E6" s="565"/>
      <c r="F6" s="565"/>
      <c r="G6" s="565"/>
      <c r="H6" s="565"/>
      <c r="I6" s="565"/>
      <c r="J6" s="565"/>
      <c r="K6" s="566"/>
      <c r="L6" s="566"/>
      <c r="M6" s="935"/>
      <c r="N6" s="939"/>
      <c r="P6" s="619">
        <f t="shared" si="0"/>
        <v>0</v>
      </c>
      <c r="Q6" s="619">
        <f t="shared" si="1"/>
        <v>0</v>
      </c>
      <c r="R6" s="619">
        <f t="shared" si="2"/>
        <v>0</v>
      </c>
      <c r="S6" s="619" t="e">
        <f t="shared" si="3"/>
        <v>#DIV/0!</v>
      </c>
      <c r="T6" s="619" t="e">
        <f t="shared" si="4"/>
        <v>#DIV/0!</v>
      </c>
      <c r="U6" s="619" t="e">
        <f t="shared" si="5"/>
        <v>#DIV/0!</v>
      </c>
      <c r="X6" s="619">
        <f t="shared" si="6"/>
        <v>0</v>
      </c>
      <c r="Y6" s="619">
        <f t="shared" si="7"/>
        <v>0</v>
      </c>
      <c r="Z6" s="619">
        <f t="shared" si="7"/>
        <v>0</v>
      </c>
      <c r="AA6" s="619">
        <f t="shared" si="7"/>
        <v>0</v>
      </c>
      <c r="AC6" s="619">
        <f t="shared" ref="AC6:AC14" si="53">AC5+1</f>
        <v>2</v>
      </c>
      <c r="AD6" s="619">
        <f t="shared" si="8"/>
        <v>0</v>
      </c>
      <c r="AE6" s="619">
        <f t="shared" si="8"/>
        <v>0</v>
      </c>
      <c r="AF6" s="619">
        <f t="shared" si="8"/>
        <v>0</v>
      </c>
      <c r="AG6" s="622">
        <f t="shared" si="9"/>
        <v>0</v>
      </c>
      <c r="AH6" s="622">
        <f t="shared" si="10"/>
        <v>0</v>
      </c>
      <c r="AI6" s="619">
        <f t="shared" si="11"/>
        <v>0</v>
      </c>
      <c r="AJ6" s="619">
        <f t="shared" si="12"/>
        <v>0</v>
      </c>
      <c r="AK6" s="619">
        <f t="shared" si="13"/>
        <v>0</v>
      </c>
      <c r="AL6" s="622">
        <f t="shared" si="14"/>
        <v>0</v>
      </c>
      <c r="AM6" s="622">
        <f t="shared" si="15"/>
        <v>0</v>
      </c>
      <c r="AN6" s="619">
        <f t="shared" si="16"/>
        <v>0</v>
      </c>
      <c r="AO6" s="619">
        <f t="shared" si="17"/>
        <v>0</v>
      </c>
      <c r="AP6" s="619">
        <f t="shared" si="18"/>
        <v>0</v>
      </c>
      <c r="AQ6" s="622">
        <f t="shared" si="19"/>
        <v>0</v>
      </c>
      <c r="AR6" s="622">
        <f t="shared" si="20"/>
        <v>0</v>
      </c>
      <c r="AS6" s="619">
        <f t="shared" si="21"/>
        <v>0</v>
      </c>
      <c r="AT6" s="619">
        <f t="shared" si="22"/>
        <v>0</v>
      </c>
      <c r="AU6" s="619">
        <f t="shared" si="23"/>
        <v>0</v>
      </c>
      <c r="AV6" s="622">
        <f t="shared" si="24"/>
        <v>0</v>
      </c>
      <c r="AW6" s="622">
        <f t="shared" si="25"/>
        <v>0</v>
      </c>
      <c r="AX6" s="619">
        <f t="shared" si="26"/>
        <v>0</v>
      </c>
      <c r="AY6" s="619">
        <f t="shared" si="27"/>
        <v>0</v>
      </c>
      <c r="AZ6" s="619">
        <f t="shared" si="28"/>
        <v>0</v>
      </c>
      <c r="BA6" s="622">
        <f t="shared" si="29"/>
        <v>0</v>
      </c>
      <c r="BB6" s="622">
        <f t="shared" si="30"/>
        <v>0</v>
      </c>
      <c r="BC6" s="619">
        <f t="shared" si="31"/>
        <v>0</v>
      </c>
      <c r="BD6" s="619">
        <f t="shared" si="32"/>
        <v>0</v>
      </c>
      <c r="BE6" s="619">
        <f t="shared" si="33"/>
        <v>0</v>
      </c>
      <c r="BF6" s="622">
        <f t="shared" si="34"/>
        <v>0</v>
      </c>
      <c r="BG6" s="622">
        <f t="shared" si="35"/>
        <v>0</v>
      </c>
      <c r="BH6" s="619">
        <f t="shared" si="36"/>
        <v>0</v>
      </c>
      <c r="BI6" s="619">
        <f t="shared" si="37"/>
        <v>0</v>
      </c>
      <c r="BJ6" s="619">
        <f t="shared" si="38"/>
        <v>0</v>
      </c>
      <c r="BK6" s="622">
        <f t="shared" si="39"/>
        <v>0</v>
      </c>
      <c r="BL6" s="622">
        <f t="shared" si="40"/>
        <v>0</v>
      </c>
      <c r="BM6" s="619">
        <f t="shared" si="41"/>
        <v>0</v>
      </c>
      <c r="BN6" s="619">
        <f t="shared" si="42"/>
        <v>0</v>
      </c>
      <c r="BO6" s="619">
        <f t="shared" si="43"/>
        <v>0</v>
      </c>
      <c r="BP6" s="622">
        <f t="shared" si="44"/>
        <v>0</v>
      </c>
      <c r="BQ6" s="622">
        <f t="shared" si="45"/>
        <v>0</v>
      </c>
      <c r="BR6" s="619">
        <f t="shared" si="46"/>
        <v>0</v>
      </c>
      <c r="BS6" s="619">
        <f t="shared" si="47"/>
        <v>0</v>
      </c>
      <c r="BT6" s="619">
        <f t="shared" si="48"/>
        <v>0</v>
      </c>
      <c r="BU6" s="622">
        <f t="shared" si="49"/>
        <v>0</v>
      </c>
      <c r="BV6" s="622">
        <f t="shared" si="50"/>
        <v>0</v>
      </c>
      <c r="BW6" s="619" t="str">
        <f>IF($Z$28,"2","")</f>
        <v>2</v>
      </c>
      <c r="BX6" s="619">
        <f t="shared" si="51"/>
        <v>10</v>
      </c>
      <c r="BY6" s="619">
        <f t="shared" ref="BY6:BY14" si="54">$AL6/$AA$19</f>
        <v>0</v>
      </c>
      <c r="BZ6" s="619">
        <f t="shared" ref="BZ6:BZ14" si="55">$AQ6/$AA$19</f>
        <v>0</v>
      </c>
      <c r="CA6" s="619">
        <f t="shared" ref="CA6:CA14" si="56">$AV6/$AA$19</f>
        <v>0</v>
      </c>
      <c r="CB6" s="619">
        <f t="shared" ref="CB6:CB14" si="57">$BA6/$AA$19</f>
        <v>0</v>
      </c>
      <c r="CC6" s="619">
        <f t="shared" ref="CC6:CC14" si="58">$BU6/$AA$19</f>
        <v>0</v>
      </c>
      <c r="CD6" s="619">
        <f t="shared" ref="CD6:CD14" si="59">$BP6/$AA$19</f>
        <v>0</v>
      </c>
      <c r="CE6" s="619">
        <f t="shared" ref="CE6:CE14" si="60">$BK6/$AA$19</f>
        <v>0</v>
      </c>
      <c r="CF6" s="619">
        <f t="shared" ref="CF6:CF14" si="61">$BF6/$AA$19</f>
        <v>0</v>
      </c>
      <c r="CG6" s="619">
        <f t="shared" ref="CG6:CG14" si="62">$AL6/$AA$19</f>
        <v>0</v>
      </c>
      <c r="CH6" s="619">
        <f t="shared" ref="CH6:CH14" si="63">$BA6/$AA$19</f>
        <v>0</v>
      </c>
      <c r="CI6" s="619">
        <f t="shared" ref="CI6:CI14" si="64">$BU6/$AA$19</f>
        <v>0</v>
      </c>
      <c r="CJ6" s="619">
        <f t="shared" ref="CJ6:CJ14" si="65">$BF6/$AA$19</f>
        <v>0</v>
      </c>
      <c r="CK6" s="619">
        <f t="shared" ref="CK6:CK14" si="66">$BK6/$AA$19</f>
        <v>0</v>
      </c>
      <c r="CL6" s="619">
        <f t="shared" ref="CL6:CL14" si="67">$AQ6/$AA$19</f>
        <v>0</v>
      </c>
      <c r="CM6" s="619">
        <f t="shared" ref="CM6:CM14" si="68">$AV6/$AA$19</f>
        <v>0</v>
      </c>
      <c r="CN6" s="619">
        <f t="shared" ref="CN6:CN14" si="69">$BP6/$AA$19</f>
        <v>0</v>
      </c>
      <c r="CO6" s="619">
        <f t="shared" si="52"/>
        <v>0</v>
      </c>
      <c r="CP6" s="619">
        <f t="shared" ref="CP6:CP14" si="70">$AM6/$AA$19</f>
        <v>0</v>
      </c>
      <c r="CQ6" s="619">
        <f t="shared" ref="CQ6:CQ14" si="71">$AR6/$AA$19</f>
        <v>0</v>
      </c>
      <c r="CR6" s="619">
        <f t="shared" ref="CR6:CR14" si="72">$AW6/$AA$19</f>
        <v>0</v>
      </c>
      <c r="CS6" s="619">
        <f t="shared" ref="CS6:CS14" si="73">$BB6/$AA$19</f>
        <v>0</v>
      </c>
      <c r="CT6" s="619">
        <f t="shared" ref="CT6:CT14" si="74">$BV6/$AA$19</f>
        <v>0</v>
      </c>
      <c r="CU6" s="619">
        <f t="shared" ref="CU6:CU14" si="75">$BQ6/$AA$19</f>
        <v>0</v>
      </c>
      <c r="CV6" s="619">
        <f t="shared" ref="CV6:CV14" si="76">$BL6/$AA$19</f>
        <v>0</v>
      </c>
      <c r="CW6" s="619">
        <f t="shared" ref="CW6:CW14" si="77">$BG6/$AA$19</f>
        <v>0</v>
      </c>
      <c r="CX6" s="619">
        <f t="shared" ref="CX6:CX14" si="78">$AM6/$AA$19</f>
        <v>0</v>
      </c>
      <c r="CY6" s="619">
        <f t="shared" ref="CY6:CY14" si="79">$BB6/$AA$19</f>
        <v>0</v>
      </c>
      <c r="CZ6" s="619">
        <f t="shared" ref="CZ6:CZ14" si="80">$BV6/$AA$19</f>
        <v>0</v>
      </c>
      <c r="DA6" s="619">
        <f t="shared" ref="DA6:DA14" si="81">$BG6/$AA$19</f>
        <v>0</v>
      </c>
      <c r="DB6" s="619">
        <f t="shared" ref="DB6:DB14" si="82">$BL6/$AA$19</f>
        <v>0</v>
      </c>
      <c r="DC6" s="619">
        <f t="shared" ref="DC6:DC14" si="83">$AR6/$AA$19</f>
        <v>0</v>
      </c>
      <c r="DD6" s="619">
        <f t="shared" ref="DD6:DD14" si="84">$AW6/$AA$19</f>
        <v>0</v>
      </c>
      <c r="DE6" s="619">
        <f t="shared" ref="DE6:DE14" si="85">$BQ6/$AA$19</f>
        <v>0</v>
      </c>
      <c r="DF6" s="619">
        <v>2</v>
      </c>
    </row>
    <row r="7" spans="2:110">
      <c r="B7" s="564">
        <v>3</v>
      </c>
      <c r="C7" s="725"/>
      <c r="D7" s="565"/>
      <c r="E7" s="565"/>
      <c r="F7" s="565"/>
      <c r="G7" s="565"/>
      <c r="H7" s="565"/>
      <c r="I7" s="565"/>
      <c r="J7" s="565"/>
      <c r="K7" s="566"/>
      <c r="L7" s="566"/>
      <c r="M7" s="935"/>
      <c r="N7" s="939"/>
      <c r="P7" s="619">
        <f t="shared" si="0"/>
        <v>0</v>
      </c>
      <c r="Q7" s="619">
        <f t="shared" si="1"/>
        <v>0</v>
      </c>
      <c r="R7" s="619">
        <f t="shared" si="2"/>
        <v>0</v>
      </c>
      <c r="S7" s="619" t="e">
        <f t="shared" si="3"/>
        <v>#DIV/0!</v>
      </c>
      <c r="T7" s="619" t="e">
        <f t="shared" si="4"/>
        <v>#DIV/0!</v>
      </c>
      <c r="U7" s="619" t="e">
        <f t="shared" si="5"/>
        <v>#DIV/0!</v>
      </c>
      <c r="X7" s="619">
        <f t="shared" si="6"/>
        <v>0</v>
      </c>
      <c r="Y7" s="619">
        <f t="shared" si="7"/>
        <v>0</v>
      </c>
      <c r="Z7" s="619">
        <f t="shared" si="7"/>
        <v>0</v>
      </c>
      <c r="AA7" s="619">
        <f t="shared" si="7"/>
        <v>0</v>
      </c>
      <c r="AC7" s="619">
        <f t="shared" si="53"/>
        <v>3</v>
      </c>
      <c r="AD7" s="619">
        <f t="shared" si="8"/>
        <v>0</v>
      </c>
      <c r="AE7" s="619">
        <f t="shared" si="8"/>
        <v>0</v>
      </c>
      <c r="AF7" s="619">
        <f t="shared" si="8"/>
        <v>0</v>
      </c>
      <c r="AG7" s="622">
        <f t="shared" si="9"/>
        <v>0</v>
      </c>
      <c r="AH7" s="622">
        <f t="shared" si="10"/>
        <v>0</v>
      </c>
      <c r="AI7" s="619">
        <f t="shared" si="11"/>
        <v>0</v>
      </c>
      <c r="AJ7" s="619">
        <f t="shared" si="12"/>
        <v>0</v>
      </c>
      <c r="AK7" s="619">
        <f t="shared" si="13"/>
        <v>0</v>
      </c>
      <c r="AL7" s="622">
        <f t="shared" si="14"/>
        <v>0</v>
      </c>
      <c r="AM7" s="622">
        <f t="shared" si="15"/>
        <v>0</v>
      </c>
      <c r="AN7" s="619">
        <f t="shared" si="16"/>
        <v>0</v>
      </c>
      <c r="AO7" s="619">
        <f t="shared" si="17"/>
        <v>0</v>
      </c>
      <c r="AP7" s="619">
        <f t="shared" si="18"/>
        <v>0</v>
      </c>
      <c r="AQ7" s="622">
        <f t="shared" si="19"/>
        <v>0</v>
      </c>
      <c r="AR7" s="622">
        <f t="shared" si="20"/>
        <v>0</v>
      </c>
      <c r="AS7" s="619">
        <f t="shared" si="21"/>
        <v>0</v>
      </c>
      <c r="AT7" s="619">
        <f t="shared" si="22"/>
        <v>0</v>
      </c>
      <c r="AU7" s="619">
        <f t="shared" si="23"/>
        <v>0</v>
      </c>
      <c r="AV7" s="622">
        <f t="shared" si="24"/>
        <v>0</v>
      </c>
      <c r="AW7" s="622">
        <f t="shared" si="25"/>
        <v>0</v>
      </c>
      <c r="AX7" s="619">
        <f t="shared" si="26"/>
        <v>0</v>
      </c>
      <c r="AY7" s="619">
        <f t="shared" si="27"/>
        <v>0</v>
      </c>
      <c r="AZ7" s="619">
        <f t="shared" si="28"/>
        <v>0</v>
      </c>
      <c r="BA7" s="622">
        <f t="shared" si="29"/>
        <v>0</v>
      </c>
      <c r="BB7" s="622">
        <f t="shared" si="30"/>
        <v>0</v>
      </c>
      <c r="BC7" s="619">
        <f t="shared" si="31"/>
        <v>0</v>
      </c>
      <c r="BD7" s="619">
        <f t="shared" si="32"/>
        <v>0</v>
      </c>
      <c r="BE7" s="619">
        <f t="shared" si="33"/>
        <v>0</v>
      </c>
      <c r="BF7" s="622">
        <f t="shared" si="34"/>
        <v>0</v>
      </c>
      <c r="BG7" s="622">
        <f t="shared" si="35"/>
        <v>0</v>
      </c>
      <c r="BH7" s="619">
        <f t="shared" si="36"/>
        <v>0</v>
      </c>
      <c r="BI7" s="619">
        <f t="shared" si="37"/>
        <v>0</v>
      </c>
      <c r="BJ7" s="619">
        <f t="shared" si="38"/>
        <v>0</v>
      </c>
      <c r="BK7" s="622">
        <f t="shared" si="39"/>
        <v>0</v>
      </c>
      <c r="BL7" s="622">
        <f t="shared" si="40"/>
        <v>0</v>
      </c>
      <c r="BM7" s="619">
        <f t="shared" si="41"/>
        <v>0</v>
      </c>
      <c r="BN7" s="619">
        <f t="shared" si="42"/>
        <v>0</v>
      </c>
      <c r="BO7" s="619">
        <f t="shared" si="43"/>
        <v>0</v>
      </c>
      <c r="BP7" s="622">
        <f t="shared" si="44"/>
        <v>0</v>
      </c>
      <c r="BQ7" s="622">
        <f t="shared" si="45"/>
        <v>0</v>
      </c>
      <c r="BR7" s="619">
        <f t="shared" si="46"/>
        <v>0</v>
      </c>
      <c r="BS7" s="619">
        <f t="shared" si="47"/>
        <v>0</v>
      </c>
      <c r="BT7" s="619">
        <f t="shared" si="48"/>
        <v>0</v>
      </c>
      <c r="BU7" s="622">
        <f t="shared" si="49"/>
        <v>0</v>
      </c>
      <c r="BV7" s="622">
        <f t="shared" si="50"/>
        <v>0</v>
      </c>
      <c r="BW7" s="619" t="str">
        <f>IF($Z$28,"3","")</f>
        <v>3</v>
      </c>
      <c r="BX7" s="619">
        <f t="shared" si="51"/>
        <v>10</v>
      </c>
      <c r="BY7" s="619">
        <f t="shared" si="54"/>
        <v>0</v>
      </c>
      <c r="BZ7" s="619">
        <f t="shared" si="55"/>
        <v>0</v>
      </c>
      <c r="CA7" s="619">
        <f t="shared" si="56"/>
        <v>0</v>
      </c>
      <c r="CB7" s="619">
        <f t="shared" si="57"/>
        <v>0</v>
      </c>
      <c r="CC7" s="619">
        <f t="shared" si="58"/>
        <v>0</v>
      </c>
      <c r="CD7" s="619">
        <f t="shared" si="59"/>
        <v>0</v>
      </c>
      <c r="CE7" s="619">
        <f t="shared" si="60"/>
        <v>0</v>
      </c>
      <c r="CF7" s="619">
        <f t="shared" si="61"/>
        <v>0</v>
      </c>
      <c r="CG7" s="619">
        <f t="shared" si="62"/>
        <v>0</v>
      </c>
      <c r="CH7" s="619">
        <f t="shared" si="63"/>
        <v>0</v>
      </c>
      <c r="CI7" s="619">
        <f t="shared" si="64"/>
        <v>0</v>
      </c>
      <c r="CJ7" s="619">
        <f t="shared" si="65"/>
        <v>0</v>
      </c>
      <c r="CK7" s="619">
        <f t="shared" si="66"/>
        <v>0</v>
      </c>
      <c r="CL7" s="619">
        <f t="shared" si="67"/>
        <v>0</v>
      </c>
      <c r="CM7" s="619">
        <f t="shared" si="68"/>
        <v>0</v>
      </c>
      <c r="CN7" s="619">
        <f t="shared" si="69"/>
        <v>0</v>
      </c>
      <c r="CO7" s="619">
        <f t="shared" si="52"/>
        <v>0</v>
      </c>
      <c r="CP7" s="619">
        <f t="shared" si="70"/>
        <v>0</v>
      </c>
      <c r="CQ7" s="619">
        <f t="shared" si="71"/>
        <v>0</v>
      </c>
      <c r="CR7" s="619">
        <f t="shared" si="72"/>
        <v>0</v>
      </c>
      <c r="CS7" s="619">
        <f t="shared" si="73"/>
        <v>0</v>
      </c>
      <c r="CT7" s="619">
        <f t="shared" si="74"/>
        <v>0</v>
      </c>
      <c r="CU7" s="619">
        <f t="shared" si="75"/>
        <v>0</v>
      </c>
      <c r="CV7" s="619">
        <f t="shared" si="76"/>
        <v>0</v>
      </c>
      <c r="CW7" s="619">
        <f t="shared" si="77"/>
        <v>0</v>
      </c>
      <c r="CX7" s="619">
        <f t="shared" si="78"/>
        <v>0</v>
      </c>
      <c r="CY7" s="619">
        <f t="shared" si="79"/>
        <v>0</v>
      </c>
      <c r="CZ7" s="619">
        <f t="shared" si="80"/>
        <v>0</v>
      </c>
      <c r="DA7" s="619">
        <f t="shared" si="81"/>
        <v>0</v>
      </c>
      <c r="DB7" s="619">
        <f t="shared" si="82"/>
        <v>0</v>
      </c>
      <c r="DC7" s="619">
        <f t="shared" si="83"/>
        <v>0</v>
      </c>
      <c r="DD7" s="619">
        <f t="shared" si="84"/>
        <v>0</v>
      </c>
      <c r="DE7" s="619">
        <f t="shared" si="85"/>
        <v>0</v>
      </c>
      <c r="DF7" s="619">
        <v>3</v>
      </c>
    </row>
    <row r="8" spans="2:110">
      <c r="B8" s="564">
        <v>4</v>
      </c>
      <c r="C8" s="725"/>
      <c r="D8" s="565"/>
      <c r="E8" s="565"/>
      <c r="F8" s="565"/>
      <c r="G8" s="565"/>
      <c r="H8" s="565"/>
      <c r="I8" s="565"/>
      <c r="J8" s="565"/>
      <c r="K8" s="566"/>
      <c r="L8" s="566"/>
      <c r="M8" s="935"/>
      <c r="N8" s="939"/>
      <c r="P8" s="619">
        <f t="shared" si="0"/>
        <v>0</v>
      </c>
      <c r="Q8" s="619">
        <f t="shared" si="1"/>
        <v>0</v>
      </c>
      <c r="R8" s="619">
        <f t="shared" si="2"/>
        <v>0</v>
      </c>
      <c r="S8" s="619" t="e">
        <f t="shared" si="3"/>
        <v>#DIV/0!</v>
      </c>
      <c r="T8" s="619" t="e">
        <f t="shared" si="4"/>
        <v>#DIV/0!</v>
      </c>
      <c r="U8" s="619" t="e">
        <f t="shared" si="5"/>
        <v>#DIV/0!</v>
      </c>
      <c r="X8" s="619">
        <f t="shared" si="6"/>
        <v>0</v>
      </c>
      <c r="Y8" s="619">
        <f t="shared" si="7"/>
        <v>0</v>
      </c>
      <c r="Z8" s="619">
        <f t="shared" si="7"/>
        <v>0</v>
      </c>
      <c r="AA8" s="619">
        <f t="shared" si="7"/>
        <v>0</v>
      </c>
      <c r="AC8" s="619">
        <f t="shared" si="53"/>
        <v>4</v>
      </c>
      <c r="AD8" s="619">
        <f t="shared" si="8"/>
        <v>0</v>
      </c>
      <c r="AE8" s="619">
        <f t="shared" si="8"/>
        <v>0</v>
      </c>
      <c r="AF8" s="619">
        <f t="shared" si="8"/>
        <v>0</v>
      </c>
      <c r="AG8" s="622">
        <f t="shared" si="9"/>
        <v>0</v>
      </c>
      <c r="AH8" s="622">
        <f t="shared" si="10"/>
        <v>0</v>
      </c>
      <c r="AI8" s="619">
        <f t="shared" si="11"/>
        <v>0</v>
      </c>
      <c r="AJ8" s="619">
        <f t="shared" si="12"/>
        <v>0</v>
      </c>
      <c r="AK8" s="619">
        <f t="shared" si="13"/>
        <v>0</v>
      </c>
      <c r="AL8" s="622">
        <f t="shared" si="14"/>
        <v>0</v>
      </c>
      <c r="AM8" s="622">
        <f t="shared" si="15"/>
        <v>0</v>
      </c>
      <c r="AN8" s="619">
        <f t="shared" si="16"/>
        <v>0</v>
      </c>
      <c r="AO8" s="619">
        <f t="shared" si="17"/>
        <v>0</v>
      </c>
      <c r="AP8" s="619">
        <f t="shared" si="18"/>
        <v>0</v>
      </c>
      <c r="AQ8" s="622">
        <f t="shared" si="19"/>
        <v>0</v>
      </c>
      <c r="AR8" s="622">
        <f t="shared" si="20"/>
        <v>0</v>
      </c>
      <c r="AS8" s="619">
        <f t="shared" si="21"/>
        <v>0</v>
      </c>
      <c r="AT8" s="619">
        <f t="shared" si="22"/>
        <v>0</v>
      </c>
      <c r="AU8" s="619">
        <f t="shared" si="23"/>
        <v>0</v>
      </c>
      <c r="AV8" s="622">
        <f t="shared" si="24"/>
        <v>0</v>
      </c>
      <c r="AW8" s="622">
        <f t="shared" si="25"/>
        <v>0</v>
      </c>
      <c r="AX8" s="619">
        <f t="shared" si="26"/>
        <v>0</v>
      </c>
      <c r="AY8" s="619">
        <f t="shared" si="27"/>
        <v>0</v>
      </c>
      <c r="AZ8" s="619">
        <f t="shared" si="28"/>
        <v>0</v>
      </c>
      <c r="BA8" s="622">
        <f t="shared" si="29"/>
        <v>0</v>
      </c>
      <c r="BB8" s="622">
        <f t="shared" si="30"/>
        <v>0</v>
      </c>
      <c r="BC8" s="619">
        <f t="shared" si="31"/>
        <v>0</v>
      </c>
      <c r="BD8" s="619">
        <f t="shared" si="32"/>
        <v>0</v>
      </c>
      <c r="BE8" s="619">
        <f t="shared" si="33"/>
        <v>0</v>
      </c>
      <c r="BF8" s="622">
        <f t="shared" si="34"/>
        <v>0</v>
      </c>
      <c r="BG8" s="622">
        <f t="shared" si="35"/>
        <v>0</v>
      </c>
      <c r="BH8" s="619">
        <f t="shared" si="36"/>
        <v>0</v>
      </c>
      <c r="BI8" s="619">
        <f t="shared" si="37"/>
        <v>0</v>
      </c>
      <c r="BJ8" s="619">
        <f t="shared" si="38"/>
        <v>0</v>
      </c>
      <c r="BK8" s="622">
        <f t="shared" si="39"/>
        <v>0</v>
      </c>
      <c r="BL8" s="622">
        <f t="shared" si="40"/>
        <v>0</v>
      </c>
      <c r="BM8" s="619">
        <f t="shared" si="41"/>
        <v>0</v>
      </c>
      <c r="BN8" s="619">
        <f t="shared" si="42"/>
        <v>0</v>
      </c>
      <c r="BO8" s="619">
        <f t="shared" si="43"/>
        <v>0</v>
      </c>
      <c r="BP8" s="622">
        <f t="shared" si="44"/>
        <v>0</v>
      </c>
      <c r="BQ8" s="622">
        <f t="shared" si="45"/>
        <v>0</v>
      </c>
      <c r="BR8" s="619">
        <f t="shared" si="46"/>
        <v>0</v>
      </c>
      <c r="BS8" s="619">
        <f t="shared" si="47"/>
        <v>0</v>
      </c>
      <c r="BT8" s="619">
        <f t="shared" si="48"/>
        <v>0</v>
      </c>
      <c r="BU8" s="622">
        <f t="shared" si="49"/>
        <v>0</v>
      </c>
      <c r="BV8" s="622">
        <f t="shared" si="50"/>
        <v>0</v>
      </c>
      <c r="BW8" s="619" t="str">
        <f>IF($Z$28,"4","")</f>
        <v>4</v>
      </c>
      <c r="BX8" s="619">
        <f t="shared" si="51"/>
        <v>10</v>
      </c>
      <c r="BY8" s="619">
        <f t="shared" si="54"/>
        <v>0</v>
      </c>
      <c r="BZ8" s="619">
        <f t="shared" si="55"/>
        <v>0</v>
      </c>
      <c r="CA8" s="619">
        <f t="shared" si="56"/>
        <v>0</v>
      </c>
      <c r="CB8" s="619">
        <f t="shared" si="57"/>
        <v>0</v>
      </c>
      <c r="CC8" s="619">
        <f t="shared" si="58"/>
        <v>0</v>
      </c>
      <c r="CD8" s="619">
        <f t="shared" si="59"/>
        <v>0</v>
      </c>
      <c r="CE8" s="619">
        <f t="shared" si="60"/>
        <v>0</v>
      </c>
      <c r="CF8" s="619">
        <f t="shared" si="61"/>
        <v>0</v>
      </c>
      <c r="CG8" s="619">
        <f t="shared" si="62"/>
        <v>0</v>
      </c>
      <c r="CH8" s="619">
        <f t="shared" si="63"/>
        <v>0</v>
      </c>
      <c r="CI8" s="619">
        <f t="shared" si="64"/>
        <v>0</v>
      </c>
      <c r="CJ8" s="619">
        <f t="shared" si="65"/>
        <v>0</v>
      </c>
      <c r="CK8" s="619">
        <f t="shared" si="66"/>
        <v>0</v>
      </c>
      <c r="CL8" s="619">
        <f t="shared" si="67"/>
        <v>0</v>
      </c>
      <c r="CM8" s="619">
        <f t="shared" si="68"/>
        <v>0</v>
      </c>
      <c r="CN8" s="619">
        <f t="shared" si="69"/>
        <v>0</v>
      </c>
      <c r="CO8" s="619">
        <f t="shared" si="52"/>
        <v>0</v>
      </c>
      <c r="CP8" s="619">
        <f t="shared" si="70"/>
        <v>0</v>
      </c>
      <c r="CQ8" s="619">
        <f t="shared" si="71"/>
        <v>0</v>
      </c>
      <c r="CR8" s="619">
        <f t="shared" si="72"/>
        <v>0</v>
      </c>
      <c r="CS8" s="619">
        <f t="shared" si="73"/>
        <v>0</v>
      </c>
      <c r="CT8" s="619">
        <f t="shared" si="74"/>
        <v>0</v>
      </c>
      <c r="CU8" s="619">
        <f t="shared" si="75"/>
        <v>0</v>
      </c>
      <c r="CV8" s="619">
        <f t="shared" si="76"/>
        <v>0</v>
      </c>
      <c r="CW8" s="619">
        <f t="shared" si="77"/>
        <v>0</v>
      </c>
      <c r="CX8" s="619">
        <f t="shared" si="78"/>
        <v>0</v>
      </c>
      <c r="CY8" s="619">
        <f t="shared" si="79"/>
        <v>0</v>
      </c>
      <c r="CZ8" s="619">
        <f t="shared" si="80"/>
        <v>0</v>
      </c>
      <c r="DA8" s="619">
        <f t="shared" si="81"/>
        <v>0</v>
      </c>
      <c r="DB8" s="619">
        <f t="shared" si="82"/>
        <v>0</v>
      </c>
      <c r="DC8" s="619">
        <f t="shared" si="83"/>
        <v>0</v>
      </c>
      <c r="DD8" s="619">
        <f t="shared" si="84"/>
        <v>0</v>
      </c>
      <c r="DE8" s="619">
        <f t="shared" si="85"/>
        <v>0</v>
      </c>
      <c r="DF8" s="619">
        <v>4</v>
      </c>
    </row>
    <row r="9" spans="2:110">
      <c r="B9" s="564">
        <v>5</v>
      </c>
      <c r="C9" s="725"/>
      <c r="D9" s="565"/>
      <c r="E9" s="565"/>
      <c r="F9" s="565"/>
      <c r="G9" s="565"/>
      <c r="H9" s="565"/>
      <c r="I9" s="565"/>
      <c r="J9" s="565"/>
      <c r="K9" s="566"/>
      <c r="L9" s="566"/>
      <c r="M9" s="935"/>
      <c r="N9" s="939"/>
      <c r="P9" s="619">
        <f t="shared" si="0"/>
        <v>0</v>
      </c>
      <c r="Q9" s="619">
        <f t="shared" si="1"/>
        <v>0</v>
      </c>
      <c r="R9" s="619">
        <f t="shared" si="2"/>
        <v>0</v>
      </c>
      <c r="S9" s="619" t="e">
        <f t="shared" si="3"/>
        <v>#DIV/0!</v>
      </c>
      <c r="T9" s="619" t="e">
        <f t="shared" si="4"/>
        <v>#DIV/0!</v>
      </c>
      <c r="U9" s="619" t="e">
        <f t="shared" si="5"/>
        <v>#DIV/0!</v>
      </c>
      <c r="X9" s="619">
        <f t="shared" si="6"/>
        <v>0</v>
      </c>
      <c r="Y9" s="619">
        <f t="shared" si="7"/>
        <v>0</v>
      </c>
      <c r="Z9" s="619">
        <f t="shared" si="7"/>
        <v>0</v>
      </c>
      <c r="AA9" s="619">
        <f t="shared" si="7"/>
        <v>0</v>
      </c>
      <c r="AC9" s="619">
        <f t="shared" si="53"/>
        <v>5</v>
      </c>
      <c r="AD9" s="619">
        <f t="shared" si="8"/>
        <v>0</v>
      </c>
      <c r="AE9" s="619">
        <f t="shared" si="8"/>
        <v>0</v>
      </c>
      <c r="AF9" s="619">
        <f t="shared" si="8"/>
        <v>0</v>
      </c>
      <c r="AG9" s="622">
        <f t="shared" si="9"/>
        <v>0</v>
      </c>
      <c r="AH9" s="622">
        <f t="shared" si="10"/>
        <v>0</v>
      </c>
      <c r="AI9" s="619">
        <f t="shared" si="11"/>
        <v>0</v>
      </c>
      <c r="AJ9" s="619">
        <f t="shared" si="12"/>
        <v>0</v>
      </c>
      <c r="AK9" s="619">
        <f t="shared" si="13"/>
        <v>0</v>
      </c>
      <c r="AL9" s="622">
        <f t="shared" si="14"/>
        <v>0</v>
      </c>
      <c r="AM9" s="622">
        <f t="shared" si="15"/>
        <v>0</v>
      </c>
      <c r="AN9" s="619">
        <f t="shared" si="16"/>
        <v>0</v>
      </c>
      <c r="AO9" s="619">
        <f t="shared" si="17"/>
        <v>0</v>
      </c>
      <c r="AP9" s="619">
        <f t="shared" si="18"/>
        <v>0</v>
      </c>
      <c r="AQ9" s="622">
        <f t="shared" si="19"/>
        <v>0</v>
      </c>
      <c r="AR9" s="622">
        <f t="shared" si="20"/>
        <v>0</v>
      </c>
      <c r="AS9" s="619">
        <f t="shared" si="21"/>
        <v>0</v>
      </c>
      <c r="AT9" s="619">
        <f t="shared" si="22"/>
        <v>0</v>
      </c>
      <c r="AU9" s="619">
        <f t="shared" si="23"/>
        <v>0</v>
      </c>
      <c r="AV9" s="622">
        <f t="shared" si="24"/>
        <v>0</v>
      </c>
      <c r="AW9" s="622">
        <f t="shared" si="25"/>
        <v>0</v>
      </c>
      <c r="AX9" s="619">
        <f t="shared" si="26"/>
        <v>0</v>
      </c>
      <c r="AY9" s="619">
        <f t="shared" si="27"/>
        <v>0</v>
      </c>
      <c r="AZ9" s="619">
        <f t="shared" si="28"/>
        <v>0</v>
      </c>
      <c r="BA9" s="622">
        <f t="shared" si="29"/>
        <v>0</v>
      </c>
      <c r="BB9" s="622">
        <f t="shared" si="30"/>
        <v>0</v>
      </c>
      <c r="BC9" s="619">
        <f t="shared" si="31"/>
        <v>0</v>
      </c>
      <c r="BD9" s="619">
        <f t="shared" si="32"/>
        <v>0</v>
      </c>
      <c r="BE9" s="619">
        <f t="shared" si="33"/>
        <v>0</v>
      </c>
      <c r="BF9" s="622">
        <f t="shared" si="34"/>
        <v>0</v>
      </c>
      <c r="BG9" s="622">
        <f t="shared" si="35"/>
        <v>0</v>
      </c>
      <c r="BH9" s="619">
        <f t="shared" si="36"/>
        <v>0</v>
      </c>
      <c r="BI9" s="619">
        <f t="shared" si="37"/>
        <v>0</v>
      </c>
      <c r="BJ9" s="619">
        <f t="shared" si="38"/>
        <v>0</v>
      </c>
      <c r="BK9" s="622">
        <f t="shared" si="39"/>
        <v>0</v>
      </c>
      <c r="BL9" s="622">
        <f t="shared" si="40"/>
        <v>0</v>
      </c>
      <c r="BM9" s="619">
        <f t="shared" si="41"/>
        <v>0</v>
      </c>
      <c r="BN9" s="619">
        <f t="shared" si="42"/>
        <v>0</v>
      </c>
      <c r="BO9" s="619">
        <f t="shared" si="43"/>
        <v>0</v>
      </c>
      <c r="BP9" s="622">
        <f t="shared" si="44"/>
        <v>0</v>
      </c>
      <c r="BQ9" s="622">
        <f t="shared" si="45"/>
        <v>0</v>
      </c>
      <c r="BR9" s="619">
        <f t="shared" si="46"/>
        <v>0</v>
      </c>
      <c r="BS9" s="619">
        <f t="shared" si="47"/>
        <v>0</v>
      </c>
      <c r="BT9" s="619">
        <f t="shared" si="48"/>
        <v>0</v>
      </c>
      <c r="BU9" s="622">
        <f t="shared" si="49"/>
        <v>0</v>
      </c>
      <c r="BV9" s="622">
        <f t="shared" si="50"/>
        <v>0</v>
      </c>
      <c r="BW9" s="619" t="str">
        <f>IF($Z$28,"5","")</f>
        <v>5</v>
      </c>
      <c r="BX9" s="619">
        <f t="shared" si="51"/>
        <v>10</v>
      </c>
      <c r="BY9" s="619">
        <f t="shared" si="54"/>
        <v>0</v>
      </c>
      <c r="BZ9" s="619">
        <f t="shared" si="55"/>
        <v>0</v>
      </c>
      <c r="CA9" s="619">
        <f t="shared" si="56"/>
        <v>0</v>
      </c>
      <c r="CB9" s="619">
        <f t="shared" si="57"/>
        <v>0</v>
      </c>
      <c r="CC9" s="619">
        <f t="shared" si="58"/>
        <v>0</v>
      </c>
      <c r="CD9" s="619">
        <f t="shared" si="59"/>
        <v>0</v>
      </c>
      <c r="CE9" s="619">
        <f t="shared" si="60"/>
        <v>0</v>
      </c>
      <c r="CF9" s="619">
        <f t="shared" si="61"/>
        <v>0</v>
      </c>
      <c r="CG9" s="619">
        <f t="shared" si="62"/>
        <v>0</v>
      </c>
      <c r="CH9" s="619">
        <f t="shared" si="63"/>
        <v>0</v>
      </c>
      <c r="CI9" s="619">
        <f t="shared" si="64"/>
        <v>0</v>
      </c>
      <c r="CJ9" s="619">
        <f t="shared" si="65"/>
        <v>0</v>
      </c>
      <c r="CK9" s="619">
        <f t="shared" si="66"/>
        <v>0</v>
      </c>
      <c r="CL9" s="619">
        <f t="shared" si="67"/>
        <v>0</v>
      </c>
      <c r="CM9" s="619">
        <f t="shared" si="68"/>
        <v>0</v>
      </c>
      <c r="CN9" s="619">
        <f t="shared" si="69"/>
        <v>0</v>
      </c>
      <c r="CO9" s="619">
        <f t="shared" si="52"/>
        <v>0</v>
      </c>
      <c r="CP9" s="619">
        <f t="shared" si="70"/>
        <v>0</v>
      </c>
      <c r="CQ9" s="619">
        <f t="shared" si="71"/>
        <v>0</v>
      </c>
      <c r="CR9" s="619">
        <f t="shared" si="72"/>
        <v>0</v>
      </c>
      <c r="CS9" s="619">
        <f t="shared" si="73"/>
        <v>0</v>
      </c>
      <c r="CT9" s="619">
        <f t="shared" si="74"/>
        <v>0</v>
      </c>
      <c r="CU9" s="619">
        <f t="shared" si="75"/>
        <v>0</v>
      </c>
      <c r="CV9" s="619">
        <f t="shared" si="76"/>
        <v>0</v>
      </c>
      <c r="CW9" s="619">
        <f t="shared" si="77"/>
        <v>0</v>
      </c>
      <c r="CX9" s="619">
        <f t="shared" si="78"/>
        <v>0</v>
      </c>
      <c r="CY9" s="619">
        <f t="shared" si="79"/>
        <v>0</v>
      </c>
      <c r="CZ9" s="619">
        <f t="shared" si="80"/>
        <v>0</v>
      </c>
      <c r="DA9" s="619">
        <f t="shared" si="81"/>
        <v>0</v>
      </c>
      <c r="DB9" s="619">
        <f t="shared" si="82"/>
        <v>0</v>
      </c>
      <c r="DC9" s="619">
        <f t="shared" si="83"/>
        <v>0</v>
      </c>
      <c r="DD9" s="619">
        <f t="shared" si="84"/>
        <v>0</v>
      </c>
      <c r="DE9" s="619">
        <f t="shared" si="85"/>
        <v>0</v>
      </c>
      <c r="DF9" s="619">
        <v>5</v>
      </c>
    </row>
    <row r="10" spans="2:110">
      <c r="B10" s="564">
        <v>6</v>
      </c>
      <c r="C10" s="725"/>
      <c r="D10" s="565"/>
      <c r="E10" s="565"/>
      <c r="F10" s="565"/>
      <c r="G10" s="565"/>
      <c r="H10" s="565"/>
      <c r="I10" s="565"/>
      <c r="J10" s="565"/>
      <c r="K10" s="566"/>
      <c r="L10" s="566"/>
      <c r="M10" s="935"/>
      <c r="N10" s="939"/>
      <c r="P10" s="619">
        <f t="shared" si="0"/>
        <v>0</v>
      </c>
      <c r="Q10" s="619">
        <f t="shared" si="1"/>
        <v>0</v>
      </c>
      <c r="R10" s="619">
        <f t="shared" si="2"/>
        <v>0</v>
      </c>
      <c r="S10" s="619" t="e">
        <f t="shared" si="3"/>
        <v>#DIV/0!</v>
      </c>
      <c r="T10" s="619" t="e">
        <f t="shared" si="4"/>
        <v>#DIV/0!</v>
      </c>
      <c r="U10" s="619" t="e">
        <f t="shared" si="5"/>
        <v>#DIV/0!</v>
      </c>
      <c r="X10" s="619">
        <f t="shared" si="6"/>
        <v>0</v>
      </c>
      <c r="Y10" s="619">
        <f t="shared" si="7"/>
        <v>0</v>
      </c>
      <c r="Z10" s="619">
        <f t="shared" si="7"/>
        <v>0</v>
      </c>
      <c r="AA10" s="619">
        <f t="shared" si="7"/>
        <v>0</v>
      </c>
      <c r="AC10" s="619">
        <f t="shared" si="53"/>
        <v>6</v>
      </c>
      <c r="AD10" s="619">
        <f t="shared" si="8"/>
        <v>0</v>
      </c>
      <c r="AE10" s="619">
        <f t="shared" si="8"/>
        <v>0</v>
      </c>
      <c r="AF10" s="619">
        <f t="shared" si="8"/>
        <v>0</v>
      </c>
      <c r="AG10" s="622">
        <f t="shared" si="9"/>
        <v>0</v>
      </c>
      <c r="AH10" s="622">
        <f t="shared" si="10"/>
        <v>0</v>
      </c>
      <c r="AI10" s="619">
        <f t="shared" si="11"/>
        <v>0</v>
      </c>
      <c r="AJ10" s="619">
        <f t="shared" si="12"/>
        <v>0</v>
      </c>
      <c r="AK10" s="619">
        <f t="shared" si="13"/>
        <v>0</v>
      </c>
      <c r="AL10" s="622">
        <f t="shared" si="14"/>
        <v>0</v>
      </c>
      <c r="AM10" s="622">
        <f t="shared" si="15"/>
        <v>0</v>
      </c>
      <c r="AN10" s="619">
        <f t="shared" si="16"/>
        <v>0</v>
      </c>
      <c r="AO10" s="619">
        <f t="shared" si="17"/>
        <v>0</v>
      </c>
      <c r="AP10" s="619">
        <f t="shared" si="18"/>
        <v>0</v>
      </c>
      <c r="AQ10" s="622">
        <f t="shared" si="19"/>
        <v>0</v>
      </c>
      <c r="AR10" s="622">
        <f t="shared" si="20"/>
        <v>0</v>
      </c>
      <c r="AS10" s="619">
        <f t="shared" si="21"/>
        <v>0</v>
      </c>
      <c r="AT10" s="619">
        <f t="shared" si="22"/>
        <v>0</v>
      </c>
      <c r="AU10" s="619">
        <f t="shared" si="23"/>
        <v>0</v>
      </c>
      <c r="AV10" s="622">
        <f t="shared" si="24"/>
        <v>0</v>
      </c>
      <c r="AW10" s="622">
        <f t="shared" si="25"/>
        <v>0</v>
      </c>
      <c r="AX10" s="619">
        <f t="shared" si="26"/>
        <v>0</v>
      </c>
      <c r="AY10" s="619">
        <f t="shared" si="27"/>
        <v>0</v>
      </c>
      <c r="AZ10" s="619">
        <f t="shared" si="28"/>
        <v>0</v>
      </c>
      <c r="BA10" s="622">
        <f t="shared" si="29"/>
        <v>0</v>
      </c>
      <c r="BB10" s="622">
        <f t="shared" si="30"/>
        <v>0</v>
      </c>
      <c r="BC10" s="619">
        <f t="shared" si="31"/>
        <v>0</v>
      </c>
      <c r="BD10" s="619">
        <f t="shared" si="32"/>
        <v>0</v>
      </c>
      <c r="BE10" s="619">
        <f t="shared" si="33"/>
        <v>0</v>
      </c>
      <c r="BF10" s="622">
        <f t="shared" si="34"/>
        <v>0</v>
      </c>
      <c r="BG10" s="622">
        <f t="shared" si="35"/>
        <v>0</v>
      </c>
      <c r="BH10" s="619">
        <f t="shared" si="36"/>
        <v>0</v>
      </c>
      <c r="BI10" s="619">
        <f t="shared" si="37"/>
        <v>0</v>
      </c>
      <c r="BJ10" s="619">
        <f t="shared" si="38"/>
        <v>0</v>
      </c>
      <c r="BK10" s="622">
        <f t="shared" si="39"/>
        <v>0</v>
      </c>
      <c r="BL10" s="622">
        <f t="shared" si="40"/>
        <v>0</v>
      </c>
      <c r="BM10" s="619">
        <f t="shared" si="41"/>
        <v>0</v>
      </c>
      <c r="BN10" s="619">
        <f t="shared" si="42"/>
        <v>0</v>
      </c>
      <c r="BO10" s="619">
        <f t="shared" si="43"/>
        <v>0</v>
      </c>
      <c r="BP10" s="622">
        <f t="shared" si="44"/>
        <v>0</v>
      </c>
      <c r="BQ10" s="622">
        <f t="shared" si="45"/>
        <v>0</v>
      </c>
      <c r="BR10" s="619">
        <f t="shared" si="46"/>
        <v>0</v>
      </c>
      <c r="BS10" s="619">
        <f t="shared" si="47"/>
        <v>0</v>
      </c>
      <c r="BT10" s="619">
        <f t="shared" si="48"/>
        <v>0</v>
      </c>
      <c r="BU10" s="622">
        <f t="shared" si="49"/>
        <v>0</v>
      </c>
      <c r="BV10" s="622">
        <f t="shared" si="50"/>
        <v>0</v>
      </c>
      <c r="BW10" s="619" t="str">
        <f>IF($Z$28,"6","")</f>
        <v>6</v>
      </c>
      <c r="BX10" s="619">
        <f t="shared" si="51"/>
        <v>10</v>
      </c>
      <c r="BY10" s="619">
        <f t="shared" si="54"/>
        <v>0</v>
      </c>
      <c r="BZ10" s="619">
        <f t="shared" si="55"/>
        <v>0</v>
      </c>
      <c r="CA10" s="619">
        <f t="shared" si="56"/>
        <v>0</v>
      </c>
      <c r="CB10" s="619">
        <f t="shared" si="57"/>
        <v>0</v>
      </c>
      <c r="CC10" s="619">
        <f t="shared" si="58"/>
        <v>0</v>
      </c>
      <c r="CD10" s="619">
        <f t="shared" si="59"/>
        <v>0</v>
      </c>
      <c r="CE10" s="619">
        <f t="shared" si="60"/>
        <v>0</v>
      </c>
      <c r="CF10" s="619">
        <f t="shared" si="61"/>
        <v>0</v>
      </c>
      <c r="CG10" s="619">
        <f t="shared" si="62"/>
        <v>0</v>
      </c>
      <c r="CH10" s="619">
        <f t="shared" si="63"/>
        <v>0</v>
      </c>
      <c r="CI10" s="619">
        <f t="shared" si="64"/>
        <v>0</v>
      </c>
      <c r="CJ10" s="619">
        <f t="shared" si="65"/>
        <v>0</v>
      </c>
      <c r="CK10" s="619">
        <f t="shared" si="66"/>
        <v>0</v>
      </c>
      <c r="CL10" s="619">
        <f t="shared" si="67"/>
        <v>0</v>
      </c>
      <c r="CM10" s="619">
        <f t="shared" si="68"/>
        <v>0</v>
      </c>
      <c r="CN10" s="619">
        <f t="shared" si="69"/>
        <v>0</v>
      </c>
      <c r="CO10" s="619">
        <f t="shared" si="52"/>
        <v>0</v>
      </c>
      <c r="CP10" s="619">
        <f t="shared" si="70"/>
        <v>0</v>
      </c>
      <c r="CQ10" s="619">
        <f t="shared" si="71"/>
        <v>0</v>
      </c>
      <c r="CR10" s="619">
        <f t="shared" si="72"/>
        <v>0</v>
      </c>
      <c r="CS10" s="619">
        <f t="shared" si="73"/>
        <v>0</v>
      </c>
      <c r="CT10" s="619">
        <f t="shared" si="74"/>
        <v>0</v>
      </c>
      <c r="CU10" s="619">
        <f t="shared" si="75"/>
        <v>0</v>
      </c>
      <c r="CV10" s="619">
        <f t="shared" si="76"/>
        <v>0</v>
      </c>
      <c r="CW10" s="619">
        <f t="shared" si="77"/>
        <v>0</v>
      </c>
      <c r="CX10" s="619">
        <f t="shared" si="78"/>
        <v>0</v>
      </c>
      <c r="CY10" s="619">
        <f t="shared" si="79"/>
        <v>0</v>
      </c>
      <c r="CZ10" s="619">
        <f t="shared" si="80"/>
        <v>0</v>
      </c>
      <c r="DA10" s="619">
        <f t="shared" si="81"/>
        <v>0</v>
      </c>
      <c r="DB10" s="619">
        <f t="shared" si="82"/>
        <v>0</v>
      </c>
      <c r="DC10" s="619">
        <f t="shared" si="83"/>
        <v>0</v>
      </c>
      <c r="DD10" s="619">
        <f t="shared" si="84"/>
        <v>0</v>
      </c>
      <c r="DE10" s="619">
        <f t="shared" si="85"/>
        <v>0</v>
      </c>
      <c r="DF10" s="619">
        <v>6</v>
      </c>
    </row>
    <row r="11" spans="2:110">
      <c r="B11" s="564">
        <v>7</v>
      </c>
      <c r="C11" s="725"/>
      <c r="D11" s="565"/>
      <c r="E11" s="565"/>
      <c r="F11" s="565"/>
      <c r="G11" s="565"/>
      <c r="H11" s="565"/>
      <c r="I11" s="565"/>
      <c r="J11" s="565"/>
      <c r="K11" s="566"/>
      <c r="L11" s="566"/>
      <c r="M11" s="935"/>
      <c r="N11" s="939"/>
      <c r="P11" s="619">
        <f t="shared" si="0"/>
        <v>0</v>
      </c>
      <c r="Q11" s="619">
        <f t="shared" si="1"/>
        <v>0</v>
      </c>
      <c r="R11" s="619">
        <f t="shared" si="2"/>
        <v>0</v>
      </c>
      <c r="S11" s="619" t="e">
        <f t="shared" si="3"/>
        <v>#DIV/0!</v>
      </c>
      <c r="T11" s="619" t="e">
        <f t="shared" si="4"/>
        <v>#DIV/0!</v>
      </c>
      <c r="U11" s="619" t="e">
        <f t="shared" si="5"/>
        <v>#DIV/0!</v>
      </c>
      <c r="X11" s="619">
        <f t="shared" si="6"/>
        <v>0</v>
      </c>
      <c r="Y11" s="619">
        <f t="shared" si="7"/>
        <v>0</v>
      </c>
      <c r="Z11" s="619">
        <f t="shared" si="7"/>
        <v>0</v>
      </c>
      <c r="AA11" s="619">
        <f t="shared" si="7"/>
        <v>0</v>
      </c>
      <c r="AC11" s="619">
        <f t="shared" si="53"/>
        <v>7</v>
      </c>
      <c r="AD11" s="619">
        <f t="shared" si="8"/>
        <v>0</v>
      </c>
      <c r="AE11" s="619">
        <f t="shared" si="8"/>
        <v>0</v>
      </c>
      <c r="AF11" s="619">
        <f t="shared" si="8"/>
        <v>0</v>
      </c>
      <c r="AG11" s="622">
        <f t="shared" si="9"/>
        <v>0</v>
      </c>
      <c r="AH11" s="622">
        <f t="shared" si="10"/>
        <v>0</v>
      </c>
      <c r="AI11" s="619">
        <f t="shared" si="11"/>
        <v>0</v>
      </c>
      <c r="AJ11" s="619">
        <f t="shared" si="12"/>
        <v>0</v>
      </c>
      <c r="AK11" s="619">
        <f t="shared" si="13"/>
        <v>0</v>
      </c>
      <c r="AL11" s="622">
        <f t="shared" si="14"/>
        <v>0</v>
      </c>
      <c r="AM11" s="622">
        <f t="shared" si="15"/>
        <v>0</v>
      </c>
      <c r="AN11" s="619">
        <f t="shared" si="16"/>
        <v>0</v>
      </c>
      <c r="AO11" s="619">
        <f t="shared" si="17"/>
        <v>0</v>
      </c>
      <c r="AP11" s="619">
        <f t="shared" si="18"/>
        <v>0</v>
      </c>
      <c r="AQ11" s="622">
        <f t="shared" si="19"/>
        <v>0</v>
      </c>
      <c r="AR11" s="622">
        <f t="shared" si="20"/>
        <v>0</v>
      </c>
      <c r="AS11" s="619">
        <f t="shared" si="21"/>
        <v>0</v>
      </c>
      <c r="AT11" s="619">
        <f t="shared" si="22"/>
        <v>0</v>
      </c>
      <c r="AU11" s="619">
        <f t="shared" si="23"/>
        <v>0</v>
      </c>
      <c r="AV11" s="622">
        <f t="shared" si="24"/>
        <v>0</v>
      </c>
      <c r="AW11" s="622">
        <f t="shared" si="25"/>
        <v>0</v>
      </c>
      <c r="AX11" s="619">
        <f t="shared" si="26"/>
        <v>0</v>
      </c>
      <c r="AY11" s="619">
        <f t="shared" si="27"/>
        <v>0</v>
      </c>
      <c r="AZ11" s="619">
        <f t="shared" si="28"/>
        <v>0</v>
      </c>
      <c r="BA11" s="622">
        <f t="shared" si="29"/>
        <v>0</v>
      </c>
      <c r="BB11" s="622">
        <f t="shared" si="30"/>
        <v>0</v>
      </c>
      <c r="BC11" s="619">
        <f t="shared" si="31"/>
        <v>0</v>
      </c>
      <c r="BD11" s="619">
        <f t="shared" si="32"/>
        <v>0</v>
      </c>
      <c r="BE11" s="619">
        <f t="shared" si="33"/>
        <v>0</v>
      </c>
      <c r="BF11" s="622">
        <f t="shared" si="34"/>
        <v>0</v>
      </c>
      <c r="BG11" s="622">
        <f t="shared" si="35"/>
        <v>0</v>
      </c>
      <c r="BH11" s="619">
        <f t="shared" si="36"/>
        <v>0</v>
      </c>
      <c r="BI11" s="619">
        <f t="shared" si="37"/>
        <v>0</v>
      </c>
      <c r="BJ11" s="619">
        <f t="shared" si="38"/>
        <v>0</v>
      </c>
      <c r="BK11" s="622">
        <f t="shared" si="39"/>
        <v>0</v>
      </c>
      <c r="BL11" s="622">
        <f t="shared" si="40"/>
        <v>0</v>
      </c>
      <c r="BM11" s="619">
        <f t="shared" si="41"/>
        <v>0</v>
      </c>
      <c r="BN11" s="619">
        <f t="shared" si="42"/>
        <v>0</v>
      </c>
      <c r="BO11" s="619">
        <f t="shared" si="43"/>
        <v>0</v>
      </c>
      <c r="BP11" s="622">
        <f t="shared" si="44"/>
        <v>0</v>
      </c>
      <c r="BQ11" s="622">
        <f t="shared" si="45"/>
        <v>0</v>
      </c>
      <c r="BR11" s="619">
        <f t="shared" si="46"/>
        <v>0</v>
      </c>
      <c r="BS11" s="619">
        <f t="shared" si="47"/>
        <v>0</v>
      </c>
      <c r="BT11" s="619">
        <f t="shared" si="48"/>
        <v>0</v>
      </c>
      <c r="BU11" s="622">
        <f t="shared" si="49"/>
        <v>0</v>
      </c>
      <c r="BV11" s="622">
        <f t="shared" si="50"/>
        <v>0</v>
      </c>
      <c r="BW11" s="619" t="str">
        <f>IF($Z$28,"7","")</f>
        <v>7</v>
      </c>
      <c r="BX11" s="619">
        <f t="shared" si="51"/>
        <v>10</v>
      </c>
      <c r="BY11" s="619">
        <f t="shared" si="54"/>
        <v>0</v>
      </c>
      <c r="BZ11" s="619">
        <f t="shared" si="55"/>
        <v>0</v>
      </c>
      <c r="CA11" s="619">
        <f t="shared" si="56"/>
        <v>0</v>
      </c>
      <c r="CB11" s="619">
        <f t="shared" si="57"/>
        <v>0</v>
      </c>
      <c r="CC11" s="619">
        <f t="shared" si="58"/>
        <v>0</v>
      </c>
      <c r="CD11" s="619">
        <f t="shared" si="59"/>
        <v>0</v>
      </c>
      <c r="CE11" s="619">
        <f t="shared" si="60"/>
        <v>0</v>
      </c>
      <c r="CF11" s="619">
        <f t="shared" si="61"/>
        <v>0</v>
      </c>
      <c r="CG11" s="619">
        <f t="shared" si="62"/>
        <v>0</v>
      </c>
      <c r="CH11" s="619">
        <f t="shared" si="63"/>
        <v>0</v>
      </c>
      <c r="CI11" s="619">
        <f t="shared" si="64"/>
        <v>0</v>
      </c>
      <c r="CJ11" s="619">
        <f t="shared" si="65"/>
        <v>0</v>
      </c>
      <c r="CK11" s="619">
        <f t="shared" si="66"/>
        <v>0</v>
      </c>
      <c r="CL11" s="619">
        <f t="shared" si="67"/>
        <v>0</v>
      </c>
      <c r="CM11" s="619">
        <f t="shared" si="68"/>
        <v>0</v>
      </c>
      <c r="CN11" s="619">
        <f t="shared" si="69"/>
        <v>0</v>
      </c>
      <c r="CO11" s="619">
        <f t="shared" si="52"/>
        <v>0</v>
      </c>
      <c r="CP11" s="619">
        <f t="shared" si="70"/>
        <v>0</v>
      </c>
      <c r="CQ11" s="619">
        <f t="shared" si="71"/>
        <v>0</v>
      </c>
      <c r="CR11" s="619">
        <f t="shared" si="72"/>
        <v>0</v>
      </c>
      <c r="CS11" s="619">
        <f t="shared" si="73"/>
        <v>0</v>
      </c>
      <c r="CT11" s="619">
        <f t="shared" si="74"/>
        <v>0</v>
      </c>
      <c r="CU11" s="619">
        <f t="shared" si="75"/>
        <v>0</v>
      </c>
      <c r="CV11" s="619">
        <f t="shared" si="76"/>
        <v>0</v>
      </c>
      <c r="CW11" s="619">
        <f t="shared" si="77"/>
        <v>0</v>
      </c>
      <c r="CX11" s="619">
        <f t="shared" si="78"/>
        <v>0</v>
      </c>
      <c r="CY11" s="619">
        <f t="shared" si="79"/>
        <v>0</v>
      </c>
      <c r="CZ11" s="619">
        <f t="shared" si="80"/>
        <v>0</v>
      </c>
      <c r="DA11" s="619">
        <f t="shared" si="81"/>
        <v>0</v>
      </c>
      <c r="DB11" s="619">
        <f t="shared" si="82"/>
        <v>0</v>
      </c>
      <c r="DC11" s="619">
        <f t="shared" si="83"/>
        <v>0</v>
      </c>
      <c r="DD11" s="619">
        <f t="shared" si="84"/>
        <v>0</v>
      </c>
      <c r="DE11" s="619">
        <f t="shared" si="85"/>
        <v>0</v>
      </c>
      <c r="DF11" s="619">
        <v>7</v>
      </c>
    </row>
    <row r="12" spans="2:110">
      <c r="B12" s="564">
        <v>8</v>
      </c>
      <c r="C12" s="725"/>
      <c r="D12" s="565"/>
      <c r="E12" s="565"/>
      <c r="F12" s="565"/>
      <c r="G12" s="565"/>
      <c r="H12" s="565"/>
      <c r="I12" s="565"/>
      <c r="J12" s="565"/>
      <c r="K12" s="566"/>
      <c r="L12" s="566"/>
      <c r="M12" s="935"/>
      <c r="N12" s="939"/>
      <c r="P12" s="619">
        <f t="shared" si="0"/>
        <v>0</v>
      </c>
      <c r="Q12" s="619">
        <f t="shared" si="1"/>
        <v>0</v>
      </c>
      <c r="R12" s="619">
        <f t="shared" si="2"/>
        <v>0</v>
      </c>
      <c r="S12" s="619" t="e">
        <f t="shared" si="3"/>
        <v>#DIV/0!</v>
      </c>
      <c r="T12" s="619" t="e">
        <f t="shared" si="4"/>
        <v>#DIV/0!</v>
      </c>
      <c r="U12" s="619" t="e">
        <f t="shared" si="5"/>
        <v>#DIV/0!</v>
      </c>
      <c r="X12" s="619">
        <f t="shared" si="6"/>
        <v>0</v>
      </c>
      <c r="Y12" s="619">
        <f t="shared" si="7"/>
        <v>0</v>
      </c>
      <c r="Z12" s="619">
        <f t="shared" si="7"/>
        <v>0</v>
      </c>
      <c r="AA12" s="619">
        <f t="shared" si="7"/>
        <v>0</v>
      </c>
      <c r="AC12" s="619">
        <f t="shared" si="53"/>
        <v>8</v>
      </c>
      <c r="AD12" s="619">
        <f t="shared" si="8"/>
        <v>0</v>
      </c>
      <c r="AE12" s="619">
        <f t="shared" si="8"/>
        <v>0</v>
      </c>
      <c r="AF12" s="619">
        <f t="shared" si="8"/>
        <v>0</v>
      </c>
      <c r="AG12" s="622">
        <f t="shared" si="9"/>
        <v>0</v>
      </c>
      <c r="AH12" s="622">
        <f t="shared" si="10"/>
        <v>0</v>
      </c>
      <c r="AI12" s="619">
        <f t="shared" si="11"/>
        <v>0</v>
      </c>
      <c r="AJ12" s="619">
        <f t="shared" si="12"/>
        <v>0</v>
      </c>
      <c r="AK12" s="619">
        <f t="shared" si="13"/>
        <v>0</v>
      </c>
      <c r="AL12" s="622">
        <f t="shared" si="14"/>
        <v>0</v>
      </c>
      <c r="AM12" s="622">
        <f t="shared" si="15"/>
        <v>0</v>
      </c>
      <c r="AN12" s="619">
        <f t="shared" si="16"/>
        <v>0</v>
      </c>
      <c r="AO12" s="619">
        <f t="shared" si="17"/>
        <v>0</v>
      </c>
      <c r="AP12" s="619">
        <f t="shared" si="18"/>
        <v>0</v>
      </c>
      <c r="AQ12" s="622">
        <f t="shared" si="19"/>
        <v>0</v>
      </c>
      <c r="AR12" s="622">
        <f t="shared" si="20"/>
        <v>0</v>
      </c>
      <c r="AS12" s="619">
        <f t="shared" si="21"/>
        <v>0</v>
      </c>
      <c r="AT12" s="619">
        <f t="shared" si="22"/>
        <v>0</v>
      </c>
      <c r="AU12" s="619">
        <f t="shared" si="23"/>
        <v>0</v>
      </c>
      <c r="AV12" s="622">
        <f t="shared" si="24"/>
        <v>0</v>
      </c>
      <c r="AW12" s="622">
        <f t="shared" si="25"/>
        <v>0</v>
      </c>
      <c r="AX12" s="619">
        <f t="shared" si="26"/>
        <v>0</v>
      </c>
      <c r="AY12" s="619">
        <f t="shared" si="27"/>
        <v>0</v>
      </c>
      <c r="AZ12" s="619">
        <f t="shared" si="28"/>
        <v>0</v>
      </c>
      <c r="BA12" s="622">
        <f t="shared" si="29"/>
        <v>0</v>
      </c>
      <c r="BB12" s="622">
        <f t="shared" si="30"/>
        <v>0</v>
      </c>
      <c r="BC12" s="619">
        <f t="shared" si="31"/>
        <v>0</v>
      </c>
      <c r="BD12" s="619">
        <f t="shared" si="32"/>
        <v>0</v>
      </c>
      <c r="BE12" s="619">
        <f t="shared" si="33"/>
        <v>0</v>
      </c>
      <c r="BF12" s="622">
        <f t="shared" si="34"/>
        <v>0</v>
      </c>
      <c r="BG12" s="622">
        <f t="shared" si="35"/>
        <v>0</v>
      </c>
      <c r="BH12" s="619">
        <f t="shared" si="36"/>
        <v>0</v>
      </c>
      <c r="BI12" s="619">
        <f t="shared" si="37"/>
        <v>0</v>
      </c>
      <c r="BJ12" s="619">
        <f t="shared" si="38"/>
        <v>0</v>
      </c>
      <c r="BK12" s="622">
        <f t="shared" si="39"/>
        <v>0</v>
      </c>
      <c r="BL12" s="622">
        <f t="shared" si="40"/>
        <v>0</v>
      </c>
      <c r="BM12" s="619">
        <f t="shared" si="41"/>
        <v>0</v>
      </c>
      <c r="BN12" s="619">
        <f t="shared" si="42"/>
        <v>0</v>
      </c>
      <c r="BO12" s="619">
        <f t="shared" si="43"/>
        <v>0</v>
      </c>
      <c r="BP12" s="622">
        <f t="shared" si="44"/>
        <v>0</v>
      </c>
      <c r="BQ12" s="622">
        <f t="shared" si="45"/>
        <v>0</v>
      </c>
      <c r="BR12" s="619">
        <f t="shared" si="46"/>
        <v>0</v>
      </c>
      <c r="BS12" s="619">
        <f t="shared" si="47"/>
        <v>0</v>
      </c>
      <c r="BT12" s="619">
        <f t="shared" si="48"/>
        <v>0</v>
      </c>
      <c r="BU12" s="622">
        <f t="shared" si="49"/>
        <v>0</v>
      </c>
      <c r="BV12" s="622">
        <f t="shared" si="50"/>
        <v>0</v>
      </c>
      <c r="BW12" s="619" t="str">
        <f>IF($Z$28,"8","")</f>
        <v>8</v>
      </c>
      <c r="BX12" s="619">
        <f t="shared" si="51"/>
        <v>10</v>
      </c>
      <c r="BY12" s="619">
        <f t="shared" si="54"/>
        <v>0</v>
      </c>
      <c r="BZ12" s="619">
        <f t="shared" si="55"/>
        <v>0</v>
      </c>
      <c r="CA12" s="619">
        <f t="shared" si="56"/>
        <v>0</v>
      </c>
      <c r="CB12" s="619">
        <f t="shared" si="57"/>
        <v>0</v>
      </c>
      <c r="CC12" s="619">
        <f t="shared" si="58"/>
        <v>0</v>
      </c>
      <c r="CD12" s="619">
        <f t="shared" si="59"/>
        <v>0</v>
      </c>
      <c r="CE12" s="619">
        <f t="shared" si="60"/>
        <v>0</v>
      </c>
      <c r="CF12" s="619">
        <f t="shared" si="61"/>
        <v>0</v>
      </c>
      <c r="CG12" s="619">
        <f t="shared" si="62"/>
        <v>0</v>
      </c>
      <c r="CH12" s="619">
        <f t="shared" si="63"/>
        <v>0</v>
      </c>
      <c r="CI12" s="619">
        <f t="shared" si="64"/>
        <v>0</v>
      </c>
      <c r="CJ12" s="619">
        <f t="shared" si="65"/>
        <v>0</v>
      </c>
      <c r="CK12" s="619">
        <f t="shared" si="66"/>
        <v>0</v>
      </c>
      <c r="CL12" s="619">
        <f t="shared" si="67"/>
        <v>0</v>
      </c>
      <c r="CM12" s="619">
        <f t="shared" si="68"/>
        <v>0</v>
      </c>
      <c r="CN12" s="619">
        <f t="shared" si="69"/>
        <v>0</v>
      </c>
      <c r="CO12" s="619">
        <f t="shared" si="52"/>
        <v>0</v>
      </c>
      <c r="CP12" s="619">
        <f t="shared" si="70"/>
        <v>0</v>
      </c>
      <c r="CQ12" s="619">
        <f t="shared" si="71"/>
        <v>0</v>
      </c>
      <c r="CR12" s="619">
        <f t="shared" si="72"/>
        <v>0</v>
      </c>
      <c r="CS12" s="619">
        <f t="shared" si="73"/>
        <v>0</v>
      </c>
      <c r="CT12" s="619">
        <f t="shared" si="74"/>
        <v>0</v>
      </c>
      <c r="CU12" s="619">
        <f t="shared" si="75"/>
        <v>0</v>
      </c>
      <c r="CV12" s="619">
        <f t="shared" si="76"/>
        <v>0</v>
      </c>
      <c r="CW12" s="619">
        <f t="shared" si="77"/>
        <v>0</v>
      </c>
      <c r="CX12" s="619">
        <f t="shared" si="78"/>
        <v>0</v>
      </c>
      <c r="CY12" s="619">
        <f t="shared" si="79"/>
        <v>0</v>
      </c>
      <c r="CZ12" s="619">
        <f t="shared" si="80"/>
        <v>0</v>
      </c>
      <c r="DA12" s="619">
        <f t="shared" si="81"/>
        <v>0</v>
      </c>
      <c r="DB12" s="619">
        <f t="shared" si="82"/>
        <v>0</v>
      </c>
      <c r="DC12" s="619">
        <f t="shared" si="83"/>
        <v>0</v>
      </c>
      <c r="DD12" s="619">
        <f t="shared" si="84"/>
        <v>0</v>
      </c>
      <c r="DE12" s="619">
        <f t="shared" si="85"/>
        <v>0</v>
      </c>
      <c r="DF12" s="619">
        <v>8</v>
      </c>
    </row>
    <row r="13" spans="2:110">
      <c r="B13" s="564">
        <v>9</v>
      </c>
      <c r="C13" s="725"/>
      <c r="D13" s="565"/>
      <c r="E13" s="565"/>
      <c r="F13" s="565"/>
      <c r="G13" s="565"/>
      <c r="H13" s="565"/>
      <c r="I13" s="565"/>
      <c r="J13" s="565"/>
      <c r="K13" s="566"/>
      <c r="L13" s="566"/>
      <c r="M13" s="935"/>
      <c r="N13" s="939"/>
      <c r="P13" s="619">
        <f t="shared" si="0"/>
        <v>0</v>
      </c>
      <c r="Q13" s="619">
        <f t="shared" si="1"/>
        <v>0</v>
      </c>
      <c r="R13" s="619">
        <f t="shared" si="2"/>
        <v>0</v>
      </c>
      <c r="S13" s="619" t="e">
        <f t="shared" si="3"/>
        <v>#DIV/0!</v>
      </c>
      <c r="T13" s="619" t="e">
        <f t="shared" si="4"/>
        <v>#DIV/0!</v>
      </c>
      <c r="U13" s="619" t="e">
        <f t="shared" si="5"/>
        <v>#DIV/0!</v>
      </c>
      <c r="X13" s="619">
        <f t="shared" si="6"/>
        <v>0</v>
      </c>
      <c r="Y13" s="619">
        <f t="shared" si="7"/>
        <v>0</v>
      </c>
      <c r="Z13" s="619">
        <f t="shared" si="7"/>
        <v>0</v>
      </c>
      <c r="AA13" s="619">
        <f t="shared" si="7"/>
        <v>0</v>
      </c>
      <c r="AC13" s="619">
        <f t="shared" si="53"/>
        <v>9</v>
      </c>
      <c r="AD13" s="619">
        <f t="shared" si="8"/>
        <v>0</v>
      </c>
      <c r="AE13" s="619">
        <f t="shared" si="8"/>
        <v>0</v>
      </c>
      <c r="AF13" s="619">
        <f t="shared" si="8"/>
        <v>0</v>
      </c>
      <c r="AG13" s="622">
        <f t="shared" si="9"/>
        <v>0</v>
      </c>
      <c r="AH13" s="622">
        <f t="shared" si="10"/>
        <v>0</v>
      </c>
      <c r="AI13" s="619">
        <f t="shared" si="11"/>
        <v>0</v>
      </c>
      <c r="AJ13" s="619">
        <f t="shared" si="12"/>
        <v>0</v>
      </c>
      <c r="AK13" s="619">
        <f t="shared" si="13"/>
        <v>0</v>
      </c>
      <c r="AL13" s="622">
        <f t="shared" si="14"/>
        <v>0</v>
      </c>
      <c r="AM13" s="622">
        <f t="shared" si="15"/>
        <v>0</v>
      </c>
      <c r="AN13" s="619">
        <f t="shared" si="16"/>
        <v>0</v>
      </c>
      <c r="AO13" s="619">
        <f t="shared" si="17"/>
        <v>0</v>
      </c>
      <c r="AP13" s="619">
        <f t="shared" si="18"/>
        <v>0</v>
      </c>
      <c r="AQ13" s="622">
        <f t="shared" si="19"/>
        <v>0</v>
      </c>
      <c r="AR13" s="622">
        <f t="shared" si="20"/>
        <v>0</v>
      </c>
      <c r="AS13" s="619">
        <f t="shared" si="21"/>
        <v>0</v>
      </c>
      <c r="AT13" s="619">
        <f t="shared" si="22"/>
        <v>0</v>
      </c>
      <c r="AU13" s="619">
        <f t="shared" si="23"/>
        <v>0</v>
      </c>
      <c r="AV13" s="622">
        <f t="shared" si="24"/>
        <v>0</v>
      </c>
      <c r="AW13" s="622">
        <f t="shared" si="25"/>
        <v>0</v>
      </c>
      <c r="AX13" s="619">
        <f t="shared" si="26"/>
        <v>0</v>
      </c>
      <c r="AY13" s="619">
        <f t="shared" si="27"/>
        <v>0</v>
      </c>
      <c r="AZ13" s="619">
        <f t="shared" si="28"/>
        <v>0</v>
      </c>
      <c r="BA13" s="622">
        <f t="shared" si="29"/>
        <v>0</v>
      </c>
      <c r="BB13" s="622">
        <f t="shared" si="30"/>
        <v>0</v>
      </c>
      <c r="BC13" s="619">
        <f t="shared" si="31"/>
        <v>0</v>
      </c>
      <c r="BD13" s="619">
        <f t="shared" si="32"/>
        <v>0</v>
      </c>
      <c r="BE13" s="619">
        <f t="shared" si="33"/>
        <v>0</v>
      </c>
      <c r="BF13" s="622">
        <f t="shared" si="34"/>
        <v>0</v>
      </c>
      <c r="BG13" s="622">
        <f t="shared" si="35"/>
        <v>0</v>
      </c>
      <c r="BH13" s="619">
        <f t="shared" si="36"/>
        <v>0</v>
      </c>
      <c r="BI13" s="619">
        <f t="shared" si="37"/>
        <v>0</v>
      </c>
      <c r="BJ13" s="619">
        <f t="shared" si="38"/>
        <v>0</v>
      </c>
      <c r="BK13" s="622">
        <f t="shared" si="39"/>
        <v>0</v>
      </c>
      <c r="BL13" s="622">
        <f t="shared" si="40"/>
        <v>0</v>
      </c>
      <c r="BM13" s="619">
        <f t="shared" si="41"/>
        <v>0</v>
      </c>
      <c r="BN13" s="619">
        <f t="shared" si="42"/>
        <v>0</v>
      </c>
      <c r="BO13" s="619">
        <f t="shared" si="43"/>
        <v>0</v>
      </c>
      <c r="BP13" s="622">
        <f t="shared" si="44"/>
        <v>0</v>
      </c>
      <c r="BQ13" s="622">
        <f t="shared" si="45"/>
        <v>0</v>
      </c>
      <c r="BR13" s="619">
        <f t="shared" si="46"/>
        <v>0</v>
      </c>
      <c r="BS13" s="619">
        <f t="shared" si="47"/>
        <v>0</v>
      </c>
      <c r="BT13" s="619">
        <f t="shared" si="48"/>
        <v>0</v>
      </c>
      <c r="BU13" s="622">
        <f t="shared" si="49"/>
        <v>0</v>
      </c>
      <c r="BV13" s="622">
        <f t="shared" si="50"/>
        <v>0</v>
      </c>
      <c r="BW13" s="619" t="str">
        <f>IF($Z$28,"9","")</f>
        <v>9</v>
      </c>
      <c r="BX13" s="619">
        <f t="shared" si="51"/>
        <v>10</v>
      </c>
      <c r="BY13" s="619">
        <f t="shared" si="54"/>
        <v>0</v>
      </c>
      <c r="BZ13" s="619">
        <f t="shared" si="55"/>
        <v>0</v>
      </c>
      <c r="CA13" s="619">
        <f t="shared" si="56"/>
        <v>0</v>
      </c>
      <c r="CB13" s="619">
        <f t="shared" si="57"/>
        <v>0</v>
      </c>
      <c r="CC13" s="619">
        <f t="shared" si="58"/>
        <v>0</v>
      </c>
      <c r="CD13" s="619">
        <f t="shared" si="59"/>
        <v>0</v>
      </c>
      <c r="CE13" s="619">
        <f t="shared" si="60"/>
        <v>0</v>
      </c>
      <c r="CF13" s="619">
        <f t="shared" si="61"/>
        <v>0</v>
      </c>
      <c r="CG13" s="619">
        <f t="shared" si="62"/>
        <v>0</v>
      </c>
      <c r="CH13" s="619">
        <f t="shared" si="63"/>
        <v>0</v>
      </c>
      <c r="CI13" s="619">
        <f t="shared" si="64"/>
        <v>0</v>
      </c>
      <c r="CJ13" s="619">
        <f t="shared" si="65"/>
        <v>0</v>
      </c>
      <c r="CK13" s="619">
        <f t="shared" si="66"/>
        <v>0</v>
      </c>
      <c r="CL13" s="619">
        <f t="shared" si="67"/>
        <v>0</v>
      </c>
      <c r="CM13" s="619">
        <f t="shared" si="68"/>
        <v>0</v>
      </c>
      <c r="CN13" s="619">
        <f t="shared" si="69"/>
        <v>0</v>
      </c>
      <c r="CO13" s="619">
        <f t="shared" si="52"/>
        <v>0</v>
      </c>
      <c r="CP13" s="619">
        <f t="shared" si="70"/>
        <v>0</v>
      </c>
      <c r="CQ13" s="619">
        <f t="shared" si="71"/>
        <v>0</v>
      </c>
      <c r="CR13" s="619">
        <f t="shared" si="72"/>
        <v>0</v>
      </c>
      <c r="CS13" s="619">
        <f t="shared" si="73"/>
        <v>0</v>
      </c>
      <c r="CT13" s="619">
        <f t="shared" si="74"/>
        <v>0</v>
      </c>
      <c r="CU13" s="619">
        <f t="shared" si="75"/>
        <v>0</v>
      </c>
      <c r="CV13" s="619">
        <f t="shared" si="76"/>
        <v>0</v>
      </c>
      <c r="CW13" s="619">
        <f t="shared" si="77"/>
        <v>0</v>
      </c>
      <c r="CX13" s="619">
        <f t="shared" si="78"/>
        <v>0</v>
      </c>
      <c r="CY13" s="619">
        <f t="shared" si="79"/>
        <v>0</v>
      </c>
      <c r="CZ13" s="619">
        <f t="shared" si="80"/>
        <v>0</v>
      </c>
      <c r="DA13" s="619">
        <f t="shared" si="81"/>
        <v>0</v>
      </c>
      <c r="DB13" s="619">
        <f t="shared" si="82"/>
        <v>0</v>
      </c>
      <c r="DC13" s="619">
        <f t="shared" si="83"/>
        <v>0</v>
      </c>
      <c r="DD13" s="619">
        <f t="shared" si="84"/>
        <v>0</v>
      </c>
      <c r="DE13" s="619">
        <f t="shared" si="85"/>
        <v>0</v>
      </c>
      <c r="DF13" s="619">
        <v>9</v>
      </c>
    </row>
    <row r="14" spans="2:110" ht="13.5" thickBot="1">
      <c r="B14" s="568">
        <v>10</v>
      </c>
      <c r="C14" s="726"/>
      <c r="D14" s="569"/>
      <c r="E14" s="569"/>
      <c r="F14" s="569"/>
      <c r="G14" s="569"/>
      <c r="H14" s="569"/>
      <c r="I14" s="569"/>
      <c r="J14" s="569"/>
      <c r="K14" s="570"/>
      <c r="L14" s="570"/>
      <c r="M14" s="936"/>
      <c r="N14" s="940"/>
      <c r="P14" s="619">
        <f t="shared" si="0"/>
        <v>0</v>
      </c>
      <c r="Q14" s="619">
        <f t="shared" si="1"/>
        <v>0</v>
      </c>
      <c r="R14" s="619">
        <f t="shared" si="2"/>
        <v>0</v>
      </c>
      <c r="S14" s="619" t="e">
        <f t="shared" si="3"/>
        <v>#DIV/0!</v>
      </c>
      <c r="T14" s="619" t="e">
        <f t="shared" si="4"/>
        <v>#DIV/0!</v>
      </c>
      <c r="U14" s="619" t="e">
        <f t="shared" si="5"/>
        <v>#DIV/0!</v>
      </c>
      <c r="X14" s="619">
        <f t="shared" si="6"/>
        <v>0</v>
      </c>
      <c r="Y14" s="619">
        <f t="shared" si="7"/>
        <v>0</v>
      </c>
      <c r="Z14" s="619">
        <f t="shared" si="7"/>
        <v>0</v>
      </c>
      <c r="AA14" s="619">
        <f t="shared" si="7"/>
        <v>0</v>
      </c>
      <c r="AC14" s="619">
        <f t="shared" si="53"/>
        <v>10</v>
      </c>
      <c r="AD14" s="619">
        <f t="shared" si="8"/>
        <v>0</v>
      </c>
      <c r="AE14" s="619">
        <f t="shared" si="8"/>
        <v>0</v>
      </c>
      <c r="AF14" s="619">
        <f t="shared" si="8"/>
        <v>0</v>
      </c>
      <c r="AG14" s="622">
        <f t="shared" si="9"/>
        <v>0</v>
      </c>
      <c r="AH14" s="622">
        <f t="shared" si="10"/>
        <v>0</v>
      </c>
      <c r="AI14" s="619">
        <f t="shared" si="11"/>
        <v>0</v>
      </c>
      <c r="AJ14" s="619">
        <f t="shared" si="12"/>
        <v>0</v>
      </c>
      <c r="AK14" s="619">
        <f t="shared" si="13"/>
        <v>0</v>
      </c>
      <c r="AL14" s="622">
        <f t="shared" si="14"/>
        <v>0</v>
      </c>
      <c r="AM14" s="622">
        <f t="shared" si="15"/>
        <v>0</v>
      </c>
      <c r="AN14" s="619">
        <f t="shared" si="16"/>
        <v>0</v>
      </c>
      <c r="AO14" s="619">
        <f t="shared" si="17"/>
        <v>0</v>
      </c>
      <c r="AP14" s="619">
        <f t="shared" si="18"/>
        <v>0</v>
      </c>
      <c r="AQ14" s="622">
        <f t="shared" si="19"/>
        <v>0</v>
      </c>
      <c r="AR14" s="622">
        <f t="shared" si="20"/>
        <v>0</v>
      </c>
      <c r="AS14" s="619">
        <f t="shared" si="21"/>
        <v>0</v>
      </c>
      <c r="AT14" s="619">
        <f t="shared" si="22"/>
        <v>0</v>
      </c>
      <c r="AU14" s="619">
        <f t="shared" si="23"/>
        <v>0</v>
      </c>
      <c r="AV14" s="622">
        <f t="shared" si="24"/>
        <v>0</v>
      </c>
      <c r="AW14" s="622">
        <f t="shared" si="25"/>
        <v>0</v>
      </c>
      <c r="AX14" s="619">
        <f t="shared" si="26"/>
        <v>0</v>
      </c>
      <c r="AY14" s="619">
        <f t="shared" si="27"/>
        <v>0</v>
      </c>
      <c r="AZ14" s="619">
        <f t="shared" si="28"/>
        <v>0</v>
      </c>
      <c r="BA14" s="622">
        <f t="shared" si="29"/>
        <v>0</v>
      </c>
      <c r="BB14" s="622">
        <f t="shared" si="30"/>
        <v>0</v>
      </c>
      <c r="BC14" s="619">
        <f t="shared" si="31"/>
        <v>0</v>
      </c>
      <c r="BD14" s="619">
        <f t="shared" si="32"/>
        <v>0</v>
      </c>
      <c r="BE14" s="619">
        <f t="shared" si="33"/>
        <v>0</v>
      </c>
      <c r="BF14" s="622">
        <f t="shared" si="34"/>
        <v>0</v>
      </c>
      <c r="BG14" s="622">
        <f t="shared" si="35"/>
        <v>0</v>
      </c>
      <c r="BH14" s="619">
        <f t="shared" si="36"/>
        <v>0</v>
      </c>
      <c r="BI14" s="619">
        <f t="shared" si="37"/>
        <v>0</v>
      </c>
      <c r="BJ14" s="619">
        <f t="shared" si="38"/>
        <v>0</v>
      </c>
      <c r="BK14" s="622">
        <f t="shared" si="39"/>
        <v>0</v>
      </c>
      <c r="BL14" s="622">
        <f t="shared" si="40"/>
        <v>0</v>
      </c>
      <c r="BM14" s="619">
        <f t="shared" si="41"/>
        <v>0</v>
      </c>
      <c r="BN14" s="619">
        <f t="shared" si="42"/>
        <v>0</v>
      </c>
      <c r="BO14" s="619">
        <f t="shared" si="43"/>
        <v>0</v>
      </c>
      <c r="BP14" s="622">
        <f t="shared" si="44"/>
        <v>0</v>
      </c>
      <c r="BQ14" s="622">
        <f t="shared" si="45"/>
        <v>0</v>
      </c>
      <c r="BR14" s="619">
        <f t="shared" si="46"/>
        <v>0</v>
      </c>
      <c r="BS14" s="619">
        <f t="shared" si="47"/>
        <v>0</v>
      </c>
      <c r="BT14" s="619">
        <f t="shared" si="48"/>
        <v>0</v>
      </c>
      <c r="BU14" s="622">
        <f t="shared" si="49"/>
        <v>0</v>
      </c>
      <c r="BV14" s="622">
        <f t="shared" si="50"/>
        <v>0</v>
      </c>
      <c r="BW14" s="619" t="str">
        <f>IF($Z$28,"10","")</f>
        <v>10</v>
      </c>
      <c r="BX14" s="619">
        <f t="shared" si="51"/>
        <v>10</v>
      </c>
      <c r="BY14" s="619">
        <f t="shared" si="54"/>
        <v>0</v>
      </c>
      <c r="BZ14" s="619">
        <f t="shared" si="55"/>
        <v>0</v>
      </c>
      <c r="CA14" s="619">
        <f t="shared" si="56"/>
        <v>0</v>
      </c>
      <c r="CB14" s="619">
        <f t="shared" si="57"/>
        <v>0</v>
      </c>
      <c r="CC14" s="619">
        <f t="shared" si="58"/>
        <v>0</v>
      </c>
      <c r="CD14" s="619">
        <f t="shared" si="59"/>
        <v>0</v>
      </c>
      <c r="CE14" s="619">
        <f t="shared" si="60"/>
        <v>0</v>
      </c>
      <c r="CF14" s="619">
        <f t="shared" si="61"/>
        <v>0</v>
      </c>
      <c r="CG14" s="619">
        <f t="shared" si="62"/>
        <v>0</v>
      </c>
      <c r="CH14" s="619">
        <f t="shared" si="63"/>
        <v>0</v>
      </c>
      <c r="CI14" s="619">
        <f t="shared" si="64"/>
        <v>0</v>
      </c>
      <c r="CJ14" s="619">
        <f t="shared" si="65"/>
        <v>0</v>
      </c>
      <c r="CK14" s="619">
        <f t="shared" si="66"/>
        <v>0</v>
      </c>
      <c r="CL14" s="619">
        <f t="shared" si="67"/>
        <v>0</v>
      </c>
      <c r="CM14" s="619">
        <f t="shared" si="68"/>
        <v>0</v>
      </c>
      <c r="CN14" s="619">
        <f t="shared" si="69"/>
        <v>0</v>
      </c>
      <c r="CO14" s="619">
        <f t="shared" si="52"/>
        <v>0</v>
      </c>
      <c r="CP14" s="619">
        <f t="shared" si="70"/>
        <v>0</v>
      </c>
      <c r="CQ14" s="619">
        <f t="shared" si="71"/>
        <v>0</v>
      </c>
      <c r="CR14" s="619">
        <f t="shared" si="72"/>
        <v>0</v>
      </c>
      <c r="CS14" s="619">
        <f t="shared" si="73"/>
        <v>0</v>
      </c>
      <c r="CT14" s="619">
        <f t="shared" si="74"/>
        <v>0</v>
      </c>
      <c r="CU14" s="619">
        <f t="shared" si="75"/>
        <v>0</v>
      </c>
      <c r="CV14" s="619">
        <f t="shared" si="76"/>
        <v>0</v>
      </c>
      <c r="CW14" s="619">
        <f t="shared" si="77"/>
        <v>0</v>
      </c>
      <c r="CX14" s="619">
        <f t="shared" si="78"/>
        <v>0</v>
      </c>
      <c r="CY14" s="619">
        <f t="shared" si="79"/>
        <v>0</v>
      </c>
      <c r="CZ14" s="619">
        <f t="shared" si="80"/>
        <v>0</v>
      </c>
      <c r="DA14" s="619">
        <f t="shared" si="81"/>
        <v>0</v>
      </c>
      <c r="DB14" s="619">
        <f t="shared" si="82"/>
        <v>0</v>
      </c>
      <c r="DC14" s="619">
        <f t="shared" si="83"/>
        <v>0</v>
      </c>
      <c r="DD14" s="619">
        <f t="shared" si="84"/>
        <v>0</v>
      </c>
      <c r="DE14" s="619">
        <f t="shared" si="85"/>
        <v>0</v>
      </c>
      <c r="DF14" s="619">
        <v>10</v>
      </c>
    </row>
    <row r="15" spans="2:110" ht="13.5" customHeight="1" thickBot="1"/>
    <row r="16" spans="2:110" ht="15.75" customHeight="1" thickBot="1">
      <c r="B16" s="998" t="s">
        <v>4022</v>
      </c>
      <c r="C16" s="813" t="s">
        <v>4024</v>
      </c>
      <c r="D16" s="571" t="s">
        <v>1272</v>
      </c>
      <c r="E16" s="571" t="s">
        <v>1273</v>
      </c>
      <c r="F16" s="571" t="s">
        <v>1801</v>
      </c>
      <c r="G16" s="571" t="s">
        <v>1802</v>
      </c>
      <c r="H16" s="571" t="s">
        <v>1803</v>
      </c>
      <c r="I16" s="571" t="s">
        <v>1804</v>
      </c>
      <c r="J16" s="572" t="s">
        <v>1805</v>
      </c>
      <c r="Y16" s="619" t="s">
        <v>1939</v>
      </c>
      <c r="AD16" s="619" t="s">
        <v>1936</v>
      </c>
      <c r="AE16" s="619" t="s">
        <v>1937</v>
      </c>
      <c r="AF16" s="619" t="s">
        <v>1938</v>
      </c>
      <c r="AG16" s="619" t="s">
        <v>1932</v>
      </c>
      <c r="AH16" s="619" t="s">
        <v>1933</v>
      </c>
    </row>
    <row r="17" spans="2:35" ht="15" customHeight="1" thickBot="1">
      <c r="B17" s="999"/>
      <c r="C17" s="727" t="s">
        <v>2581</v>
      </c>
      <c r="D17" s="573">
        <f>IF(multi_PL_flg=0,D18,IF(multi_PL_flg=1,D19,""))</f>
        <v>0</v>
      </c>
      <c r="E17" s="573" t="str">
        <f t="shared" ref="E17:J17" si="86">IF(ISERROR(IF(multi_PL_flg=0,E18,E19)),"",IF(multi_PL_flg=0,E18,IF(multi_PL_flg=1,E19,"")))</f>
        <v/>
      </c>
      <c r="F17" s="573" t="str">
        <f t="shared" si="86"/>
        <v/>
      </c>
      <c r="G17" s="573" t="str">
        <f t="shared" si="86"/>
        <v/>
      </c>
      <c r="H17" s="573" t="str">
        <f t="shared" si="86"/>
        <v/>
      </c>
      <c r="I17" s="573" t="str">
        <f t="shared" si="86"/>
        <v/>
      </c>
      <c r="J17" s="574" t="str">
        <f t="shared" si="86"/>
        <v/>
      </c>
      <c r="X17" s="619" t="s">
        <v>1940</v>
      </c>
      <c r="Y17" s="619" t="s">
        <v>1941</v>
      </c>
      <c r="Z17" s="619" t="s">
        <v>1942</v>
      </c>
      <c r="AA17" s="619" t="s">
        <v>1943</v>
      </c>
      <c r="AC17" s="619" t="s">
        <v>1944</v>
      </c>
      <c r="AD17" s="619">
        <f>(MAX(AD5:AD14)+MIN(AD5:AD14))/2</f>
        <v>0</v>
      </c>
      <c r="AE17" s="619">
        <f>(MAX(AE5:AE14)+MIN(AE5:AE14))/2</f>
        <v>0</v>
      </c>
      <c r="AF17" s="619">
        <f>(MAX(AF5:AF14)+MIN(AF5:AF14))/2</f>
        <v>0</v>
      </c>
      <c r="AG17" s="622">
        <f>IF($N$34="X-Y",AE17*$AA$21-AF17*$Z$21,IF($N$34="Y-Z",-AD17*$Z$21+AF17*$AA$21,AD17*$AA$21-AE17*$Z$21))</f>
        <v>0</v>
      </c>
      <c r="AH17" s="622">
        <f>IF($N$34="X-Y",AD17*$AA$22+AE17*$Z$21*$Z$22+AF17*$AA$21*$Z$22,IF($N$34="Y-Z",AD17*$AA$21*$Z$22+AE17*$AA$22+AF17*$Z$21*$Z$22,AD17*$Z$21*$Z$22+AE17*$AA$21*$Z$22+AF17*$AA$22))</f>
        <v>0</v>
      </c>
    </row>
    <row r="18" spans="2:35" ht="13.5" customHeight="1" thickBot="1">
      <c r="D18" s="567">
        <f>SUM(D5:D14)</f>
        <v>0</v>
      </c>
      <c r="E18" s="567" t="e">
        <f>P18/$D18</f>
        <v>#DIV/0!</v>
      </c>
      <c r="F18" s="567" t="e">
        <f>Q18/$D18</f>
        <v>#DIV/0!</v>
      </c>
      <c r="G18" s="567" t="e">
        <f>R18/$D18</f>
        <v>#DIV/0!</v>
      </c>
      <c r="H18" s="567" t="e">
        <f>SUM(H5:H14)+S18</f>
        <v>#DIV/0!</v>
      </c>
      <c r="I18" s="567" t="e">
        <f>SUM(I5:I14)+T18</f>
        <v>#DIV/0!</v>
      </c>
      <c r="J18" s="567" t="e">
        <f>SUM(J5:J14)+U18</f>
        <v>#DIV/0!</v>
      </c>
      <c r="P18" s="619">
        <f t="shared" ref="P18:U18" si="87">SUM(P5:P14)</f>
        <v>0</v>
      </c>
      <c r="Q18" s="619">
        <f t="shared" si="87"/>
        <v>0</v>
      </c>
      <c r="R18" s="619">
        <f t="shared" si="87"/>
        <v>0</v>
      </c>
      <c r="S18" s="619" t="e">
        <f t="shared" si="87"/>
        <v>#DIV/0!</v>
      </c>
      <c r="T18" s="619" t="e">
        <f t="shared" si="87"/>
        <v>#DIV/0!</v>
      </c>
      <c r="U18" s="619" t="e">
        <f t="shared" si="87"/>
        <v>#DIV/0!</v>
      </c>
      <c r="X18" s="619">
        <f>IF(multi_Input_Type="BOX",1,0)</f>
        <v>0</v>
      </c>
      <c r="Y18" s="619">
        <f>multi_outline_hr</f>
        <v>0</v>
      </c>
      <c r="Z18" s="619">
        <f>multi_outline_vr</f>
        <v>138</v>
      </c>
      <c r="AA18" s="619">
        <f>multi_outline_scale</f>
        <v>100</v>
      </c>
      <c r="AC18" s="619" t="str">
        <f>IF($Z$28,"G","")</f>
        <v>G</v>
      </c>
      <c r="AD18" s="619" t="str">
        <f>multi_2</f>
        <v/>
      </c>
      <c r="AE18" s="619" t="str">
        <f>multi_3</f>
        <v/>
      </c>
      <c r="AF18" s="619" t="str">
        <f>multi_4</f>
        <v/>
      </c>
      <c r="AG18" s="622" t="e">
        <f>IF($N$34="X-Y",AE18*$AA$21-AF18*$Z$21,IF($N$34="Y-Z",-AD18*$Z$21+AF18*$AA$21,AD18*$AA$21-AE18*$Z$21))-$AG$17</f>
        <v>#VALUE!</v>
      </c>
      <c r="AH18" s="622" t="e">
        <f>IF($N$34="X-Y",AD18*$AA$22+AE18*$Z$21*$Z$22+AF18*$AA$21*$Z$22,IF($N$34="Y-Z",AD18*$AA$21*$Z$22+AE18*$AA$22+AF18*$Z$21*$Z$22,AD18*$Z$21*$Z$22+AE18*$AA$21*$Z$22+AF18*$AA$22))-$AH$17</f>
        <v>#VALUE!</v>
      </c>
    </row>
    <row r="19" spans="2:35" ht="16.5" customHeight="1" thickBot="1">
      <c r="B19" s="1000" t="str">
        <f>Coordinates!B1</f>
        <v>Coordinates</v>
      </c>
      <c r="C19" s="1001"/>
      <c r="D19" s="567">
        <f>SUM(D5:D14)</f>
        <v>0</v>
      </c>
      <c r="E19" s="567" t="e">
        <f>E18</f>
        <v>#DIV/0!</v>
      </c>
      <c r="F19" s="567" t="e">
        <f>F18</f>
        <v>#DIV/0!</v>
      </c>
      <c r="G19" s="567" t="e">
        <f>G18</f>
        <v>#DIV/0!</v>
      </c>
      <c r="H19" s="567" t="e">
        <f>S32+S18</f>
        <v>#DIV/0!</v>
      </c>
      <c r="I19" s="567" t="e">
        <f>T32+T18</f>
        <v>#DIV/0!</v>
      </c>
      <c r="J19" s="567" t="e">
        <f>U32+U18</f>
        <v>#DIV/0!</v>
      </c>
      <c r="AA19" s="619">
        <f>AA3/AA18*100</f>
        <v>0.1</v>
      </c>
      <c r="AG19" s="622">
        <f>IF(X3=0,1,IF($Z$29=1,$AG$18,$AA$3/$AA$18*100*10))/$AA$19</f>
        <v>10</v>
      </c>
      <c r="AH19" s="622">
        <f>IF(X3=0,0,IF($Z$29=1,$AH$18,0))/$AA$19</f>
        <v>0</v>
      </c>
    </row>
    <row r="20" spans="2:35" ht="16.5" customHeight="1" thickBot="1">
      <c r="B20" s="1002" t="s">
        <v>4023</v>
      </c>
      <c r="C20" s="1003"/>
      <c r="D20" s="575" t="str">
        <f>IF(multi_PL_flg=0,"CofG-SI",IF(multi_PL_flg=1,"Box",""))</f>
        <v>CofG-SI</v>
      </c>
      <c r="E20" s="576"/>
      <c r="F20" s="576"/>
      <c r="G20" s="576"/>
      <c r="H20" s="995" t="s">
        <v>4026</v>
      </c>
      <c r="I20" s="996"/>
      <c r="J20" s="997"/>
      <c r="K20" s="995" t="s">
        <v>4027</v>
      </c>
      <c r="L20" s="996"/>
      <c r="M20" s="996"/>
      <c r="N20" s="997"/>
      <c r="Q20" s="619" t="s">
        <v>2784</v>
      </c>
      <c r="S20" s="619" t="s">
        <v>1809</v>
      </c>
      <c r="T20" s="619" t="s">
        <v>1810</v>
      </c>
      <c r="U20" s="619" t="s">
        <v>1811</v>
      </c>
      <c r="X20" s="619" t="s">
        <v>1945</v>
      </c>
      <c r="Y20" s="619" t="s">
        <v>1946</v>
      </c>
      <c r="Z20" s="619" t="s">
        <v>1947</v>
      </c>
      <c r="AA20" s="619" t="s">
        <v>1948</v>
      </c>
    </row>
    <row r="21" spans="2:35">
      <c r="B21" s="577"/>
      <c r="C21" s="578"/>
      <c r="D21" s="578"/>
      <c r="E21" s="578"/>
      <c r="F21" s="578"/>
      <c r="G21" s="578"/>
      <c r="H21" s="577"/>
      <c r="I21" s="578"/>
      <c r="J21" s="578"/>
      <c r="K21" s="577"/>
      <c r="L21" s="578"/>
      <c r="M21" s="578"/>
      <c r="N21" s="579"/>
      <c r="S21" s="619">
        <f t="shared" ref="S21:S30" si="88">$D5/12*($L5^2+$M5^2)</f>
        <v>0</v>
      </c>
      <c r="T21" s="619">
        <f t="shared" ref="T21:T30" si="89">$D5/12*($K5^2+$M5^2)</f>
        <v>0</v>
      </c>
      <c r="U21" s="619">
        <f t="shared" ref="U21:U30" si="90">$D5/12*($K5^2+$L5^2)</f>
        <v>0</v>
      </c>
      <c r="X21" s="619" t="s">
        <v>145</v>
      </c>
      <c r="Y21" s="619">
        <f>Y18-180</f>
        <v>-180</v>
      </c>
      <c r="Z21" s="619">
        <f>SIN(Y21*PI()/180)</f>
        <v>-1.22514845490862E-16</v>
      </c>
      <c r="AA21" s="619">
        <f>COS(Y21*PI()/180)</f>
        <v>-1</v>
      </c>
      <c r="AC21" s="619" t="str">
        <f>IF(AND($Z$28,$Z$30),"X","")</f>
        <v>X</v>
      </c>
      <c r="AD21" s="619">
        <f>AA3*AA24</f>
        <v>2.0000000000000004E-2</v>
      </c>
      <c r="AE21" s="619">
        <v>0</v>
      </c>
      <c r="AF21" s="619">
        <v>0</v>
      </c>
      <c r="AG21" s="622">
        <f>IF($N$34="X-Y",AE21*$AA$21-AF21*$Z$21,IF($N$34="Y-Z",-AD21*$Z$21+AF21*$AA$21,AD21*$AA$21-AE21*$Z$21))-$AG$17</f>
        <v>0</v>
      </c>
      <c r="AH21" s="622">
        <f>IF($N$34="X-Y",AD21*$AA$22+AE21*$Z$21*$Z$22+AF21*$AA$21*$Z$22,IF($N$34="Y-Z",AD21*$AA$21*$Z$22+AE21*$AA$22+AF21*$Z$21*$Z$22,AD21*$Z$21*$Z$22+AE21*$AA$21*$Z$22+AF21*$AA$22))-$AH$17</f>
        <v>-1.4862896509547883E-2</v>
      </c>
    </row>
    <row r="22" spans="2:35">
      <c r="B22" s="577"/>
      <c r="C22" s="578"/>
      <c r="D22" s="578"/>
      <c r="E22" s="578"/>
      <c r="F22" s="578"/>
      <c r="G22" s="578"/>
      <c r="H22" s="577"/>
      <c r="I22" s="578"/>
      <c r="J22" s="578"/>
      <c r="K22" s="577"/>
      <c r="L22" s="578"/>
      <c r="M22" s="578"/>
      <c r="N22" s="579"/>
      <c r="S22" s="619">
        <f t="shared" si="88"/>
        <v>0</v>
      </c>
      <c r="T22" s="619">
        <f t="shared" si="89"/>
        <v>0</v>
      </c>
      <c r="U22" s="619">
        <f t="shared" si="90"/>
        <v>0</v>
      </c>
      <c r="X22" s="619" t="s">
        <v>146</v>
      </c>
      <c r="Y22" s="619">
        <f>Z18</f>
        <v>138</v>
      </c>
      <c r="Z22" s="619">
        <f>SIN(Y22*PI()/180)</f>
        <v>0.66913060635885835</v>
      </c>
      <c r="AA22" s="619">
        <f>COS(Y22*PI()/180)</f>
        <v>-0.74314482547739402</v>
      </c>
      <c r="AC22" s="619" t="str">
        <f>IF(AND($Z$28,$Z$30),"Y","")</f>
        <v>Y</v>
      </c>
      <c r="AD22" s="619">
        <v>0</v>
      </c>
      <c r="AE22" s="619">
        <f>AD21</f>
        <v>2.0000000000000004E-2</v>
      </c>
      <c r="AF22" s="619">
        <v>0</v>
      </c>
      <c r="AG22" s="622">
        <f>IF($N$34="X-Y",AE22*$AA$21-AF22*$Z$21,IF($N$34="Y-Z",-AD22*$Z$21+AF22*$AA$21,AD22*$AA$21-AE22*$Z$21))-$AG$17</f>
        <v>-2.0000000000000004E-2</v>
      </c>
      <c r="AH22" s="622">
        <f>IF($N$34="X-Y",AD22*$AA$22+AE22*$Z$21*$Z$22+AF22*$AA$21*$Z$22,IF($N$34="Y-Z",AD22*$AA$21*$Z$22+AE22*$AA$22+AF22*$Z$21*$Z$22,AD22*$Z$21*$Z$22+AE22*$AA$21*$Z$22+AF22*$AA$22))-$AH$17</f>
        <v>-1.639568657025247E-18</v>
      </c>
    </row>
    <row r="23" spans="2:35">
      <c r="B23" s="577"/>
      <c r="C23" s="578"/>
      <c r="D23" s="578"/>
      <c r="E23" s="578"/>
      <c r="F23" s="578"/>
      <c r="G23" s="578"/>
      <c r="H23" s="577"/>
      <c r="I23" s="578"/>
      <c r="J23" s="578"/>
      <c r="K23" s="577"/>
      <c r="L23" s="578"/>
      <c r="M23" s="578"/>
      <c r="N23" s="579"/>
      <c r="S23" s="619">
        <f t="shared" si="88"/>
        <v>0</v>
      </c>
      <c r="T23" s="619">
        <f t="shared" si="89"/>
        <v>0</v>
      </c>
      <c r="U23" s="619">
        <f t="shared" si="90"/>
        <v>0</v>
      </c>
      <c r="AC23" s="619" t="str">
        <f>IF(AND($Z$28,$Z$30),"Z","")</f>
        <v>Z</v>
      </c>
      <c r="AD23" s="619">
        <v>0</v>
      </c>
      <c r="AE23" s="619">
        <v>0</v>
      </c>
      <c r="AF23" s="619">
        <f>AE22</f>
        <v>2.0000000000000004E-2</v>
      </c>
      <c r="AG23" s="622">
        <f>IF($N$34="X-Y",AE23*$AA$21-AF23*$Z$21,IF($N$34="Y-Z",-AD23*$Z$21+AF23*$AA$21,AD23*$AA$21-AE23*$Z$21))-$AG$17</f>
        <v>2.4502969098172406E-18</v>
      </c>
      <c r="AH23" s="622">
        <f>IF($N$34="X-Y",AD23*$AA$22+AE23*$Z$21*$Z$22+AF23*$AA$21*$Z$22,IF($N$34="Y-Z",AD23*$AA$21*$Z$22+AE23*$AA$22+AF23*$Z$21*$Z$22,AD23*$Z$21*$Z$22+AE23*$AA$21*$Z$22+AF23*$AA$22))-$AH$17</f>
        <v>-1.338261212717717E-2</v>
      </c>
    </row>
    <row r="24" spans="2:35">
      <c r="B24" s="577"/>
      <c r="C24" s="578"/>
      <c r="D24" s="578"/>
      <c r="E24" s="578"/>
      <c r="F24" s="578"/>
      <c r="G24" s="578"/>
      <c r="H24" s="577"/>
      <c r="I24" s="578"/>
      <c r="J24" s="578"/>
      <c r="K24" s="577"/>
      <c r="L24" s="578"/>
      <c r="M24" s="578"/>
      <c r="N24" s="579"/>
      <c r="S24" s="619">
        <f t="shared" si="88"/>
        <v>0</v>
      </c>
      <c r="T24" s="619">
        <f t="shared" si="89"/>
        <v>0</v>
      </c>
      <c r="U24" s="619">
        <f t="shared" si="90"/>
        <v>0</v>
      </c>
      <c r="X24" s="619" t="s">
        <v>2716</v>
      </c>
      <c r="AA24" s="619">
        <v>0.2</v>
      </c>
      <c r="AD24" s="619" t="s">
        <v>142</v>
      </c>
      <c r="AF24" s="619" t="s">
        <v>143</v>
      </c>
      <c r="AH24" s="619" t="s">
        <v>144</v>
      </c>
    </row>
    <row r="25" spans="2:35">
      <c r="B25" s="577"/>
      <c r="C25" s="578"/>
      <c r="D25" s="578"/>
      <c r="E25" s="578"/>
      <c r="F25" s="578"/>
      <c r="G25" s="578"/>
      <c r="H25" s="577"/>
      <c r="I25" s="578"/>
      <c r="J25" s="578"/>
      <c r="K25" s="577"/>
      <c r="L25" s="578"/>
      <c r="M25" s="578"/>
      <c r="N25" s="579"/>
      <c r="S25" s="619">
        <f t="shared" si="88"/>
        <v>0</v>
      </c>
      <c r="T25" s="619">
        <f t="shared" si="89"/>
        <v>0</v>
      </c>
      <c r="U25" s="619">
        <f t="shared" si="90"/>
        <v>0</v>
      </c>
      <c r="X25" s="619" t="s">
        <v>816</v>
      </c>
      <c r="AA25" s="619">
        <v>0.2</v>
      </c>
      <c r="AD25" s="619" t="s">
        <v>1932</v>
      </c>
      <c r="AE25" s="619" t="s">
        <v>1933</v>
      </c>
      <c r="AF25" s="619" t="s">
        <v>1932</v>
      </c>
      <c r="AG25" s="619" t="s">
        <v>1933</v>
      </c>
      <c r="AH25" s="619" t="s">
        <v>1932</v>
      </c>
      <c r="AI25" s="619" t="s">
        <v>1933</v>
      </c>
    </row>
    <row r="26" spans="2:35">
      <c r="B26" s="577"/>
      <c r="C26" s="578"/>
      <c r="D26" s="578"/>
      <c r="E26" s="578"/>
      <c r="F26" s="578"/>
      <c r="G26" s="578"/>
      <c r="H26" s="577"/>
      <c r="I26" s="578"/>
      <c r="J26" s="578"/>
      <c r="K26" s="577"/>
      <c r="L26" s="578"/>
      <c r="M26" s="578"/>
      <c r="N26" s="579"/>
      <c r="S26" s="619">
        <f t="shared" si="88"/>
        <v>0</v>
      </c>
      <c r="T26" s="619">
        <f t="shared" si="89"/>
        <v>0</v>
      </c>
      <c r="U26" s="619">
        <f t="shared" si="90"/>
        <v>0</v>
      </c>
      <c r="AC26" s="619">
        <v>1</v>
      </c>
      <c r="AD26" s="622">
        <f>(IF($Z$30,0,$AA$3/$AA$18*1000)-$AG$17)/$AA$19</f>
        <v>0</v>
      </c>
      <c r="AE26" s="622">
        <f>-$AH$17/$AA$19</f>
        <v>0</v>
      </c>
      <c r="AF26" s="622">
        <f>AD26</f>
        <v>0</v>
      </c>
      <c r="AG26" s="622">
        <f>AE26</f>
        <v>0</v>
      </c>
      <c r="AH26" s="622">
        <f>AD26</f>
        <v>0</v>
      </c>
      <c r="AI26" s="622">
        <f>AE26</f>
        <v>0</v>
      </c>
    </row>
    <row r="27" spans="2:35">
      <c r="B27" s="577"/>
      <c r="C27" s="578"/>
      <c r="D27" s="578"/>
      <c r="E27" s="578"/>
      <c r="F27" s="578"/>
      <c r="G27" s="578"/>
      <c r="H27" s="577"/>
      <c r="I27" s="578"/>
      <c r="J27" s="578"/>
      <c r="K27" s="577"/>
      <c r="L27" s="578"/>
      <c r="M27" s="578"/>
      <c r="N27" s="579"/>
      <c r="S27" s="619">
        <f t="shared" si="88"/>
        <v>0</v>
      </c>
      <c r="T27" s="619">
        <f t="shared" si="89"/>
        <v>0</v>
      </c>
      <c r="U27" s="619">
        <f t="shared" si="90"/>
        <v>0</v>
      </c>
      <c r="AC27" s="619">
        <v>2</v>
      </c>
      <c r="AD27" s="622">
        <f>(IF($Z$30,$AG$21,$AA$3/$AA$18*1000))/$AA$19</f>
        <v>0</v>
      </c>
      <c r="AE27" s="622">
        <f>$AH$21/$AA$19</f>
        <v>-0.14862896509547882</v>
      </c>
      <c r="AF27" s="622">
        <f>(IF($Z$30,$AG$22,$AA$3/$AA$18*1000))/$AA$19</f>
        <v>-0.20000000000000004</v>
      </c>
      <c r="AG27" s="622">
        <f>$AH$22/$AA$19</f>
        <v>-1.6395686570252468E-17</v>
      </c>
      <c r="AH27" s="622">
        <f>(IF($Z$30,$AG$23,$AA$3/$AA$18*1000))/$AA$19</f>
        <v>2.4502969098172403E-17</v>
      </c>
      <c r="AI27" s="622">
        <f>$AH$23/$AA$19</f>
        <v>-0.13382612127177168</v>
      </c>
    </row>
    <row r="28" spans="2:35">
      <c r="B28" s="577"/>
      <c r="C28" s="578"/>
      <c r="D28" s="578"/>
      <c r="E28" s="578"/>
      <c r="F28" s="578"/>
      <c r="G28" s="578"/>
      <c r="H28" s="577"/>
      <c r="I28" s="578"/>
      <c r="J28" s="578"/>
      <c r="K28" s="577"/>
      <c r="L28" s="578"/>
      <c r="M28" s="578"/>
      <c r="N28" s="579"/>
      <c r="S28" s="619">
        <f t="shared" si="88"/>
        <v>0</v>
      </c>
      <c r="T28" s="619">
        <f t="shared" si="89"/>
        <v>0</v>
      </c>
      <c r="U28" s="619">
        <f t="shared" si="90"/>
        <v>0</v>
      </c>
      <c r="X28" s="619" t="s">
        <v>818</v>
      </c>
      <c r="Z28" s="619">
        <f>multi_label_sw</f>
        <v>1</v>
      </c>
      <c r="AC28" s="619">
        <v>3</v>
      </c>
      <c r="AD28" s="619">
        <f>AD27-AE31*AA25*COS((AD31+15)*PI()/180)</f>
        <v>-7.6936013641175438E-3</v>
      </c>
      <c r="AE28" s="619">
        <f>AE27-AE31*AA25*SIN((AD31+15)*PI()/180)</f>
        <v>-0.11991605391141093</v>
      </c>
      <c r="AF28" s="619">
        <f>AF27-AG31*AA25*COS((AF31+15)*PI()/180)</f>
        <v>-0.1613629669484373</v>
      </c>
      <c r="AG28" s="619">
        <f>AG27-AG31*AA25*SIN((AF31+15)*PI()/180)</f>
        <v>1.0352761804100828E-2</v>
      </c>
      <c r="AH28" s="619">
        <f>AH27-AI31*AA25*COS((AH31+15)*PI()/180)</f>
        <v>-6.9273497834667986E-3</v>
      </c>
      <c r="AI28" s="619">
        <f>AI27-AI31*AA25*SIN((AH31+15)*PI()/180)</f>
        <v>-0.10797289991807225</v>
      </c>
    </row>
    <row r="29" spans="2:35">
      <c r="B29" s="577"/>
      <c r="C29" s="578"/>
      <c r="D29" s="578"/>
      <c r="E29" s="578"/>
      <c r="F29" s="578"/>
      <c r="G29" s="578"/>
      <c r="H29" s="577"/>
      <c r="I29" s="578"/>
      <c r="J29" s="578"/>
      <c r="K29" s="577"/>
      <c r="L29" s="578"/>
      <c r="M29" s="578"/>
      <c r="N29" s="579"/>
      <c r="S29" s="619">
        <f t="shared" si="88"/>
        <v>0</v>
      </c>
      <c r="T29" s="619">
        <f t="shared" si="89"/>
        <v>0</v>
      </c>
      <c r="U29" s="619">
        <f t="shared" si="90"/>
        <v>0</v>
      </c>
      <c r="X29" s="619" t="s">
        <v>332</v>
      </c>
      <c r="Z29" s="619">
        <f>multi_cofg_sw</f>
        <v>1</v>
      </c>
      <c r="AC29" s="619">
        <v>4</v>
      </c>
      <c r="AD29" s="619">
        <f>AD27-AE31*AA25*COS((AD31-15)*PI()/180)</f>
        <v>7.6936013641175464E-3</v>
      </c>
      <c r="AE29" s="619">
        <f>AE27-AE31*AA25*SIN((AD31-15)*PI()/180)</f>
        <v>-0.11991605391141093</v>
      </c>
      <c r="AF29" s="619">
        <f>AF27-AG31*AA25*COS((AF31-15)*PI()/180)</f>
        <v>-0.1613629669484373</v>
      </c>
      <c r="AG29" s="619">
        <f>AG27-AG31*AA25*SIN((AF31-15)*PI()/180)</f>
        <v>-1.0352761804100831E-2</v>
      </c>
      <c r="AH29" s="619">
        <f>AH27-AI31*AA25*COS((AH31-15)*PI()/180)</f>
        <v>6.9273497834668324E-3</v>
      </c>
      <c r="AI29" s="619">
        <f>AI27-AI31*AA25*SIN((AH31-15)*PI()/180)</f>
        <v>-0.10797289991807225</v>
      </c>
    </row>
    <row r="30" spans="2:35">
      <c r="B30" s="577"/>
      <c r="C30" s="578"/>
      <c r="D30" s="578"/>
      <c r="E30" s="578"/>
      <c r="F30" s="578"/>
      <c r="G30" s="578"/>
      <c r="H30" s="577"/>
      <c r="I30" s="578"/>
      <c r="J30" s="578"/>
      <c r="K30" s="577"/>
      <c r="L30" s="578"/>
      <c r="M30" s="578"/>
      <c r="N30" s="579"/>
      <c r="S30" s="619">
        <f t="shared" si="88"/>
        <v>0</v>
      </c>
      <c r="T30" s="619">
        <f t="shared" si="89"/>
        <v>0</v>
      </c>
      <c r="U30" s="619">
        <f t="shared" si="90"/>
        <v>0</v>
      </c>
      <c r="X30" s="619" t="s">
        <v>333</v>
      </c>
      <c r="Z30" s="619">
        <f>multi_axis_sw</f>
        <v>1</v>
      </c>
      <c r="AC30" s="619">
        <v>5</v>
      </c>
      <c r="AD30" s="619">
        <f t="shared" ref="AD30:AI30" si="91">AD27</f>
        <v>0</v>
      </c>
      <c r="AE30" s="619">
        <f t="shared" si="91"/>
        <v>-0.14862896509547882</v>
      </c>
      <c r="AF30" s="619">
        <f t="shared" si="91"/>
        <v>-0.20000000000000004</v>
      </c>
      <c r="AG30" s="619">
        <f t="shared" si="91"/>
        <v>-1.6395686570252468E-17</v>
      </c>
      <c r="AH30" s="619">
        <f t="shared" si="91"/>
        <v>2.4502969098172403E-17</v>
      </c>
      <c r="AI30" s="619">
        <f t="shared" si="91"/>
        <v>-0.13382612127177168</v>
      </c>
    </row>
    <row r="31" spans="2:35">
      <c r="B31" s="577"/>
      <c r="C31" s="578"/>
      <c r="D31" s="578"/>
      <c r="E31" s="578"/>
      <c r="F31" s="578"/>
      <c r="G31" s="578"/>
      <c r="H31" s="577"/>
      <c r="I31" s="578"/>
      <c r="J31" s="578"/>
      <c r="K31" s="577"/>
      <c r="L31" s="578"/>
      <c r="M31" s="578"/>
      <c r="N31" s="579"/>
      <c r="AC31" s="619" t="s">
        <v>817</v>
      </c>
      <c r="AD31" s="619">
        <f>IF((AE27-AE26)=0,IF(AD27-AD26&gt;0,0,180),ATAN2(AD27-AD26,AE27-AE26)*180/PI())</f>
        <v>-90</v>
      </c>
      <c r="AE31" s="619">
        <f>SQRT((AD27-AD26)^2+(AE27-AE26)^2)</f>
        <v>0.14862896509547882</v>
      </c>
      <c r="AF31" s="619">
        <f>IF((AG27-AG26)=0,IF(AF27-AF26&gt;0,0,180),ATAN2(AF27-AF26,AG27-AG26)*180/PI())</f>
        <v>-180</v>
      </c>
      <c r="AG31" s="619">
        <f>SQRT((AF27-AF26)^2+(AG27-AG26)^2)</f>
        <v>0.20000000000000004</v>
      </c>
      <c r="AH31" s="619">
        <f>IF((AI27-AI26)=0,IF(AH27-AH26&gt;0,0,180),ATAN2(AH27-AH26,AI27-AI26)*180/PI())</f>
        <v>-89.999999999999986</v>
      </c>
      <c r="AI31" s="619">
        <f>SQRT((AH27-AH26)^2+(AI27-AI26)^2)</f>
        <v>0.13382612127177168</v>
      </c>
    </row>
    <row r="32" spans="2:35">
      <c r="B32" s="577"/>
      <c r="C32" s="578"/>
      <c r="D32" s="578"/>
      <c r="E32" s="578"/>
      <c r="F32" s="578"/>
      <c r="G32" s="578"/>
      <c r="H32" s="577"/>
      <c r="I32" s="578"/>
      <c r="J32" s="578"/>
      <c r="K32" s="577"/>
      <c r="L32" s="578"/>
      <c r="M32" s="578"/>
      <c r="N32" s="579"/>
      <c r="S32" s="619">
        <f>SUM(S21:S30)</f>
        <v>0</v>
      </c>
      <c r="T32" s="619">
        <f>SUM(T21:T30)</f>
        <v>0</v>
      </c>
      <c r="U32" s="619">
        <f>SUM(U21:U30)</f>
        <v>0</v>
      </c>
    </row>
    <row r="33" spans="2:25">
      <c r="B33" s="577"/>
      <c r="C33" s="578"/>
      <c r="D33" s="578"/>
      <c r="E33" s="578"/>
      <c r="F33" s="578"/>
      <c r="G33" s="578"/>
      <c r="H33" s="577"/>
      <c r="I33" s="578"/>
      <c r="J33" s="578"/>
      <c r="K33" s="577"/>
      <c r="L33" s="578"/>
      <c r="M33" s="578"/>
      <c r="N33" s="579"/>
    </row>
    <row r="34" spans="2:25" ht="13.5" thickBot="1">
      <c r="B34" s="580"/>
      <c r="C34" s="581"/>
      <c r="D34" s="581"/>
      <c r="E34" s="581"/>
      <c r="F34" s="581"/>
      <c r="G34" s="581"/>
      <c r="H34" s="580"/>
      <c r="I34" s="581"/>
      <c r="J34" s="581"/>
      <c r="K34" s="580"/>
      <c r="L34" s="581"/>
      <c r="M34" s="581"/>
      <c r="N34" s="624" t="s">
        <v>2250</v>
      </c>
      <c r="X34" s="623"/>
      <c r="Y34" s="623"/>
    </row>
    <row r="35" spans="2:25">
      <c r="X35" s="623"/>
      <c r="Y35" s="623"/>
    </row>
    <row r="36" spans="2:25">
      <c r="B36" s="558" t="str">
        <f>'Axis Data'!P1</f>
        <v>A-83842-03/22</v>
      </c>
      <c r="X36" s="623"/>
      <c r="Y36" s="623"/>
    </row>
    <row r="37" spans="2:25">
      <c r="X37" s="623"/>
      <c r="Y37" s="623"/>
    </row>
  </sheetData>
  <sheetProtection password="D4C7"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formula1>"X-Y,Y-Z,Z-X"</formula1>
    </dataValidation>
    <dataValidation type="decimal" allowBlank="1" showInputMessage="1" showErrorMessage="1" sqref="K5:M14 D5:D14 H5:J14">
      <formula1>0</formula1>
      <formula2>100000000000000</formula2>
    </dataValidation>
    <dataValidation type="decimal" allowBlank="1" showInputMessage="1" showErrorMessage="1" sqref="E5:G14">
      <formula1>-100000000000000</formula1>
      <formula2>100000000000000</formula2>
    </dataValidation>
    <dataValidation type="whole" allowBlank="1" showInputMessage="1" showErrorMessage="1" sqref="N5:N14">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3" r:id="rId4" name="ScrollBar3">
          <controlPr defaultSize="0" autoLine="0" altText="Bar3" linkedCell="multi_outline_scale" r:id="rId5">
            <anchor moveWithCells="1">
              <from>
                <xdr:col>13</xdr:col>
                <xdr:colOff>152400</xdr:colOff>
                <xdr:row>20</xdr:row>
                <xdr:rowOff>19050</xdr:rowOff>
              </from>
              <to>
                <xdr:col>13</xdr:col>
                <xdr:colOff>266700</xdr:colOff>
                <xdr:row>24</xdr:row>
                <xdr:rowOff>0</xdr:rowOff>
              </to>
            </anchor>
          </controlPr>
        </control>
      </mc:Choice>
      <mc:Fallback>
        <control shapeId="239653" r:id="rId4" name="ScrollBar3"/>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1" r:id="rId8" name="ScrollBar1">
          <controlPr defaultSize="0" autoLine="0" altText="Bar1" linkedCell="  multi_outline_hr" r:id="rId9">
            <anchor moveWithCells="1">
              <from>
                <xdr:col>10</xdr:col>
                <xdr:colOff>342900</xdr:colOff>
                <xdr:row>33</xdr:row>
                <xdr:rowOff>47625</xdr:rowOff>
              </from>
              <to>
                <xdr:col>12</xdr:col>
                <xdr:colOff>571500</xdr:colOff>
                <xdr:row>33</xdr:row>
                <xdr:rowOff>161925</xdr:rowOff>
              </to>
            </anchor>
          </controlPr>
        </control>
      </mc:Choice>
      <mc:Fallback>
        <control shapeId="239651" r:id="rId8" name="ScrollBar1"/>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M122"/>
  <sheetViews>
    <sheetView showGridLines="0" workbookViewId="0">
      <selection activeCell="E4" sqref="E4"/>
    </sheetView>
  </sheetViews>
  <sheetFormatPr baseColWidth="10" defaultColWidth="9.33203125" defaultRowHeight="12.75"/>
  <cols>
    <col min="1" max="1" width="3.5" style="3" customWidth="1"/>
    <col min="2" max="2" width="5.33203125" style="3" customWidth="1"/>
    <col min="3" max="3" width="14.5" style="3" customWidth="1"/>
    <col min="4" max="4" width="12.1640625" style="3" customWidth="1"/>
    <col min="5" max="12" width="12.83203125" style="3" customWidth="1"/>
    <col min="13" max="16384" width="9.33203125" style="3"/>
  </cols>
  <sheetData>
    <row r="1" spans="2:13" ht="18" customHeight="1">
      <c r="B1" s="814" t="s">
        <v>4028</v>
      </c>
    </row>
    <row r="2" spans="2:13" ht="13.5" customHeight="1" thickBot="1"/>
    <row r="3" spans="2:13" ht="15" customHeight="1">
      <c r="B3" s="1004">
        <v>1</v>
      </c>
      <c r="C3" s="582" t="s">
        <v>4029</v>
      </c>
      <c r="D3" s="583" t="s">
        <v>4021</v>
      </c>
      <c r="E3" s="583" t="s">
        <v>4024</v>
      </c>
      <c r="F3" s="584" t="s">
        <v>2661</v>
      </c>
      <c r="G3" s="584" t="s">
        <v>2662</v>
      </c>
      <c r="H3" s="584" t="s">
        <v>764</v>
      </c>
      <c r="I3" s="584" t="s">
        <v>765</v>
      </c>
      <c r="J3" s="584" t="str">
        <f>IF(multi_save_input_1="CofG-SI","Ix (kgm^2)",IF(multi_save_input_1="Box","a (m)",""))</f>
        <v>Ix (kgm^2)</v>
      </c>
      <c r="K3" s="584" t="str">
        <f>IF(multi_save_input_1="CofG-SI","Iy (kgm^2)",IF(multi_save_input_1="Box","b (m)",""))</f>
        <v>Iy (kgm^2)</v>
      </c>
      <c r="L3" s="585" t="str">
        <f>IF(multi_save_input_1="CofG-SI","Iz (kgm^2)",IF(multi_save_input_1="Box","c (m)",""))</f>
        <v>Iz (kgm^2)</v>
      </c>
      <c r="M3" s="609" t="str">
        <f>IF(multi_save_input_1="Box","Color#","")</f>
        <v/>
      </c>
    </row>
    <row r="4" spans="2:13" ht="12.75" customHeight="1">
      <c r="B4" s="1005"/>
      <c r="C4" s="1007" t="s">
        <v>1550</v>
      </c>
      <c r="D4" s="586">
        <v>1</v>
      </c>
      <c r="E4" s="728"/>
      <c r="F4" s="587"/>
      <c r="G4" s="587"/>
      <c r="H4" s="587"/>
      <c r="I4" s="587"/>
      <c r="J4" s="587"/>
      <c r="K4" s="587"/>
      <c r="L4" s="588"/>
      <c r="M4" s="610"/>
    </row>
    <row r="5" spans="2:13" ht="12.75" customHeight="1">
      <c r="B5" s="1005"/>
      <c r="C5" s="1008"/>
      <c r="D5" s="586">
        <v>2</v>
      </c>
      <c r="E5" s="728"/>
      <c r="F5" s="587"/>
      <c r="G5" s="587"/>
      <c r="H5" s="587"/>
      <c r="I5" s="587"/>
      <c r="J5" s="587"/>
      <c r="K5" s="587"/>
      <c r="L5" s="588"/>
      <c r="M5" s="610"/>
    </row>
    <row r="6" spans="2:13" ht="12.75" customHeight="1">
      <c r="B6" s="1005"/>
      <c r="C6" s="1008"/>
      <c r="D6" s="586">
        <v>3</v>
      </c>
      <c r="E6" s="728"/>
      <c r="F6" s="587"/>
      <c r="G6" s="587"/>
      <c r="H6" s="587"/>
      <c r="I6" s="587"/>
      <c r="J6" s="587"/>
      <c r="K6" s="587"/>
      <c r="L6" s="588"/>
      <c r="M6" s="610"/>
    </row>
    <row r="7" spans="2:13" ht="12.75" customHeight="1">
      <c r="B7" s="1005"/>
      <c r="C7" s="1008"/>
      <c r="D7" s="586">
        <v>4</v>
      </c>
      <c r="E7" s="728"/>
      <c r="F7" s="587"/>
      <c r="G7" s="587"/>
      <c r="H7" s="587"/>
      <c r="I7" s="587"/>
      <c r="J7" s="587"/>
      <c r="K7" s="587"/>
      <c r="L7" s="588"/>
      <c r="M7" s="610"/>
    </row>
    <row r="8" spans="2:13" ht="12.75" customHeight="1">
      <c r="B8" s="1005"/>
      <c r="C8" s="1008"/>
      <c r="D8" s="586">
        <v>5</v>
      </c>
      <c r="E8" s="728"/>
      <c r="F8" s="587"/>
      <c r="G8" s="587"/>
      <c r="H8" s="587"/>
      <c r="I8" s="587"/>
      <c r="J8" s="587"/>
      <c r="K8" s="587"/>
      <c r="L8" s="588"/>
      <c r="M8" s="610"/>
    </row>
    <row r="9" spans="2:13" ht="12.75" customHeight="1">
      <c r="B9" s="1005"/>
      <c r="C9" s="1008"/>
      <c r="D9" s="586">
        <v>6</v>
      </c>
      <c r="E9" s="728"/>
      <c r="F9" s="587"/>
      <c r="G9" s="587"/>
      <c r="H9" s="587"/>
      <c r="I9" s="587"/>
      <c r="J9" s="587"/>
      <c r="K9" s="587"/>
      <c r="L9" s="588"/>
      <c r="M9" s="610"/>
    </row>
    <row r="10" spans="2:13" ht="12.75" customHeight="1">
      <c r="B10" s="1005"/>
      <c r="C10" s="1008"/>
      <c r="D10" s="586">
        <v>7</v>
      </c>
      <c r="E10" s="728"/>
      <c r="F10" s="587"/>
      <c r="G10" s="587"/>
      <c r="H10" s="587"/>
      <c r="I10" s="587"/>
      <c r="J10" s="587"/>
      <c r="K10" s="587"/>
      <c r="L10" s="588"/>
      <c r="M10" s="610"/>
    </row>
    <row r="11" spans="2:13" ht="12.75" customHeight="1">
      <c r="B11" s="1005"/>
      <c r="C11" s="1008"/>
      <c r="D11" s="586">
        <v>8</v>
      </c>
      <c r="E11" s="728"/>
      <c r="F11" s="587"/>
      <c r="G11" s="587"/>
      <c r="H11" s="587"/>
      <c r="I11" s="587"/>
      <c r="J11" s="587"/>
      <c r="K11" s="587"/>
      <c r="L11" s="588"/>
      <c r="M11" s="610"/>
    </row>
    <row r="12" spans="2:13" ht="12.75" customHeight="1">
      <c r="B12" s="1005"/>
      <c r="C12" s="1008"/>
      <c r="D12" s="586">
        <v>9</v>
      </c>
      <c r="E12" s="728"/>
      <c r="F12" s="587"/>
      <c r="G12" s="587"/>
      <c r="H12" s="587"/>
      <c r="I12" s="587"/>
      <c r="J12" s="587"/>
      <c r="K12" s="587"/>
      <c r="L12" s="588"/>
      <c r="M12" s="610"/>
    </row>
    <row r="13" spans="2:13" ht="12.75" customHeight="1">
      <c r="B13" s="1005"/>
      <c r="C13" s="1008"/>
      <c r="D13" s="80">
        <v>10</v>
      </c>
      <c r="E13" s="729"/>
      <c r="F13" s="589"/>
      <c r="G13" s="589"/>
      <c r="H13" s="589"/>
      <c r="I13" s="589"/>
      <c r="J13" s="589"/>
      <c r="K13" s="589"/>
      <c r="L13" s="590"/>
      <c r="M13" s="610"/>
    </row>
    <row r="14" spans="2:13" ht="13.5" customHeight="1" thickBot="1">
      <c r="B14" s="1006"/>
      <c r="C14" s="1010"/>
      <c r="D14" s="591" t="s">
        <v>4022</v>
      </c>
      <c r="E14" s="730"/>
      <c r="F14" s="592"/>
      <c r="G14" s="592"/>
      <c r="H14" s="592"/>
      <c r="I14" s="592"/>
      <c r="J14" s="592"/>
      <c r="K14" s="592"/>
      <c r="L14" s="593"/>
      <c r="M14" s="610"/>
    </row>
    <row r="15" spans="2:13" ht="15" customHeight="1">
      <c r="B15" s="1004">
        <v>2</v>
      </c>
      <c r="C15" s="582" t="str">
        <f t="shared" ref="C15:I15" si="0">C$3</f>
        <v>Input Type</v>
      </c>
      <c r="D15" s="583" t="str">
        <f t="shared" si="0"/>
        <v>Part #</v>
      </c>
      <c r="E15" s="583" t="str">
        <f t="shared" si="0"/>
        <v>Name</v>
      </c>
      <c r="F15" s="584" t="str">
        <f t="shared" si="0"/>
        <v>m (kg)</v>
      </c>
      <c r="G15" s="584" t="str">
        <f t="shared" si="0"/>
        <v>X (m)</v>
      </c>
      <c r="H15" s="584" t="str">
        <f t="shared" si="0"/>
        <v>Y (m)</v>
      </c>
      <c r="I15" s="584" t="str">
        <f t="shared" si="0"/>
        <v>Z (m)</v>
      </c>
      <c r="J15" s="584" t="str">
        <f>IF(multi_save_input_2="CofG-SI","Ix (kgm^2)",IF(multi_save_input_2="Box","a (m)",""))</f>
        <v/>
      </c>
      <c r="K15" s="584" t="str">
        <f>IF(multi_save_input_2="CofG-SI","Iy (kgm^2)",IF(multi_save_input_2="Box","b (m)",""))</f>
        <v/>
      </c>
      <c r="L15" s="585" t="str">
        <f>IF(multi_save_input_2="CofG-SI","Iz (kgm^2)",IF(multi_save_input_2="Box","c (m)",""))</f>
        <v/>
      </c>
      <c r="M15" s="609" t="str">
        <f>IF(multi_save_input_2="Box","Color#","")</f>
        <v/>
      </c>
    </row>
    <row r="16" spans="2:13" ht="12.75" customHeight="1">
      <c r="B16" s="1005"/>
      <c r="C16" s="1007"/>
      <c r="D16" s="586">
        <v>1</v>
      </c>
      <c r="E16" s="728"/>
      <c r="F16" s="587"/>
      <c r="G16" s="587"/>
      <c r="H16" s="587"/>
      <c r="I16" s="587"/>
      <c r="J16" s="587"/>
      <c r="K16" s="587"/>
      <c r="L16" s="588"/>
      <c r="M16" s="610"/>
    </row>
    <row r="17" spans="2:13" ht="12.75" customHeight="1">
      <c r="B17" s="1005"/>
      <c r="C17" s="1008"/>
      <c r="D17" s="586">
        <v>2</v>
      </c>
      <c r="E17" s="728"/>
      <c r="F17" s="587"/>
      <c r="G17" s="587"/>
      <c r="H17" s="587"/>
      <c r="I17" s="587"/>
      <c r="J17" s="587"/>
      <c r="K17" s="587"/>
      <c r="L17" s="588"/>
      <c r="M17" s="610"/>
    </row>
    <row r="18" spans="2:13" ht="12.75" customHeight="1">
      <c r="B18" s="1005"/>
      <c r="C18" s="1008"/>
      <c r="D18" s="586">
        <v>3</v>
      </c>
      <c r="E18" s="728"/>
      <c r="F18" s="587"/>
      <c r="G18" s="587"/>
      <c r="H18" s="587"/>
      <c r="I18" s="587"/>
      <c r="J18" s="587"/>
      <c r="K18" s="587"/>
      <c r="L18" s="588"/>
      <c r="M18" s="610"/>
    </row>
    <row r="19" spans="2:13" ht="12.75" customHeight="1">
      <c r="B19" s="1005"/>
      <c r="C19" s="1008"/>
      <c r="D19" s="586">
        <v>4</v>
      </c>
      <c r="E19" s="728"/>
      <c r="F19" s="587"/>
      <c r="G19" s="587"/>
      <c r="H19" s="587"/>
      <c r="I19" s="587"/>
      <c r="J19" s="587"/>
      <c r="K19" s="587"/>
      <c r="L19" s="588"/>
      <c r="M19" s="610"/>
    </row>
    <row r="20" spans="2:13" ht="12.75" customHeight="1">
      <c r="B20" s="1005"/>
      <c r="C20" s="1008"/>
      <c r="D20" s="586">
        <v>5</v>
      </c>
      <c r="E20" s="728"/>
      <c r="F20" s="587"/>
      <c r="G20" s="587"/>
      <c r="H20" s="587"/>
      <c r="I20" s="587"/>
      <c r="J20" s="587"/>
      <c r="K20" s="587"/>
      <c r="L20" s="588"/>
      <c r="M20" s="610"/>
    </row>
    <row r="21" spans="2:13" ht="12.75" customHeight="1">
      <c r="B21" s="1005"/>
      <c r="C21" s="1008"/>
      <c r="D21" s="586">
        <v>6</v>
      </c>
      <c r="E21" s="728"/>
      <c r="F21" s="587"/>
      <c r="G21" s="587"/>
      <c r="H21" s="587"/>
      <c r="I21" s="587"/>
      <c r="J21" s="587"/>
      <c r="K21" s="587"/>
      <c r="L21" s="588"/>
      <c r="M21" s="610"/>
    </row>
    <row r="22" spans="2:13" ht="12.75" customHeight="1">
      <c r="B22" s="1005"/>
      <c r="C22" s="1008"/>
      <c r="D22" s="586">
        <v>7</v>
      </c>
      <c r="E22" s="728"/>
      <c r="F22" s="587"/>
      <c r="G22" s="587"/>
      <c r="H22" s="587"/>
      <c r="I22" s="587"/>
      <c r="J22" s="587"/>
      <c r="K22" s="587"/>
      <c r="L22" s="588"/>
      <c r="M22" s="610"/>
    </row>
    <row r="23" spans="2:13" ht="12.75" customHeight="1">
      <c r="B23" s="1005"/>
      <c r="C23" s="1008"/>
      <c r="D23" s="586">
        <v>8</v>
      </c>
      <c r="E23" s="728"/>
      <c r="F23" s="587"/>
      <c r="G23" s="587"/>
      <c r="H23" s="587"/>
      <c r="I23" s="587"/>
      <c r="J23" s="587"/>
      <c r="K23" s="587"/>
      <c r="L23" s="588"/>
      <c r="M23" s="610"/>
    </row>
    <row r="24" spans="2:13" ht="12.75" customHeight="1">
      <c r="B24" s="1005"/>
      <c r="C24" s="1008"/>
      <c r="D24" s="586">
        <v>9</v>
      </c>
      <c r="E24" s="728"/>
      <c r="F24" s="587"/>
      <c r="G24" s="587"/>
      <c r="H24" s="587"/>
      <c r="I24" s="587"/>
      <c r="J24" s="587"/>
      <c r="K24" s="587"/>
      <c r="L24" s="588"/>
      <c r="M24" s="610"/>
    </row>
    <row r="25" spans="2:13" ht="12.75" customHeight="1">
      <c r="B25" s="1005"/>
      <c r="C25" s="1008"/>
      <c r="D25" s="80">
        <v>10</v>
      </c>
      <c r="E25" s="729"/>
      <c r="F25" s="589"/>
      <c r="G25" s="589"/>
      <c r="H25" s="589"/>
      <c r="I25" s="589"/>
      <c r="J25" s="589"/>
      <c r="K25" s="589"/>
      <c r="L25" s="590"/>
      <c r="M25" s="610"/>
    </row>
    <row r="26" spans="2:13" ht="13.5" customHeight="1" thickBot="1">
      <c r="B26" s="1006"/>
      <c r="C26" s="1010"/>
      <c r="D26" s="591" t="str">
        <f>$D$14</f>
        <v>Total Load</v>
      </c>
      <c r="E26" s="730"/>
      <c r="F26" s="592"/>
      <c r="G26" s="592"/>
      <c r="H26" s="592"/>
      <c r="I26" s="592"/>
      <c r="J26" s="592"/>
      <c r="K26" s="592"/>
      <c r="L26" s="593"/>
      <c r="M26" s="610"/>
    </row>
    <row r="27" spans="2:13" ht="15" customHeight="1">
      <c r="B27" s="1004">
        <v>3</v>
      </c>
      <c r="C27" s="582" t="str">
        <f t="shared" ref="C27:I27" si="1">C$3</f>
        <v>Input Type</v>
      </c>
      <c r="D27" s="583" t="str">
        <f t="shared" si="1"/>
        <v>Part #</v>
      </c>
      <c r="E27" s="583" t="str">
        <f t="shared" si="1"/>
        <v>Name</v>
      </c>
      <c r="F27" s="584" t="str">
        <f t="shared" si="1"/>
        <v>m (kg)</v>
      </c>
      <c r="G27" s="584" t="str">
        <f t="shared" si="1"/>
        <v>X (m)</v>
      </c>
      <c r="H27" s="584" t="str">
        <f t="shared" si="1"/>
        <v>Y (m)</v>
      </c>
      <c r="I27" s="584" t="str">
        <f t="shared" si="1"/>
        <v>Z (m)</v>
      </c>
      <c r="J27" s="584" t="str">
        <f>IF(multi_save_input_3="CofG-SI","Ix (kgm^2)",IF(multi_save_input_3="Box","a (m)",""))</f>
        <v/>
      </c>
      <c r="K27" s="584" t="str">
        <f>IF(multi_save_input_3="CofG-SI","Iy (kgm^2)",IF(multi_save_input_3="Box","b (m)",""))</f>
        <v/>
      </c>
      <c r="L27" s="585" t="str">
        <f>IF(multi_save_input_3="CofG-SI","Iz (kgm^2)",IF(multi_save_input_3="Box","c (m)",""))</f>
        <v/>
      </c>
      <c r="M27" s="609" t="str">
        <f>IF(multi_save_input_3="Box","Color#","")</f>
        <v/>
      </c>
    </row>
    <row r="28" spans="2:13" ht="12.75" customHeight="1">
      <c r="B28" s="1005"/>
      <c r="C28" s="1007"/>
      <c r="D28" s="586">
        <v>1</v>
      </c>
      <c r="E28" s="728"/>
      <c r="F28" s="587"/>
      <c r="G28" s="587"/>
      <c r="H28" s="587"/>
      <c r="I28" s="587"/>
      <c r="J28" s="587"/>
      <c r="K28" s="587"/>
      <c r="L28" s="588"/>
      <c r="M28" s="610"/>
    </row>
    <row r="29" spans="2:13" ht="12.75" customHeight="1">
      <c r="B29" s="1005"/>
      <c r="C29" s="1008"/>
      <c r="D29" s="586">
        <v>2</v>
      </c>
      <c r="E29" s="728"/>
      <c r="F29" s="587"/>
      <c r="G29" s="587"/>
      <c r="H29" s="587"/>
      <c r="I29" s="587"/>
      <c r="J29" s="587"/>
      <c r="K29" s="587"/>
      <c r="L29" s="588"/>
      <c r="M29" s="610"/>
    </row>
    <row r="30" spans="2:13" ht="12.75" customHeight="1">
      <c r="B30" s="1005"/>
      <c r="C30" s="1008"/>
      <c r="D30" s="586">
        <v>3</v>
      </c>
      <c r="E30" s="728"/>
      <c r="F30" s="587"/>
      <c r="G30" s="587"/>
      <c r="H30" s="587"/>
      <c r="I30" s="587"/>
      <c r="J30" s="587"/>
      <c r="K30" s="587"/>
      <c r="L30" s="588"/>
      <c r="M30" s="610"/>
    </row>
    <row r="31" spans="2:13" ht="12.75" customHeight="1">
      <c r="B31" s="1005"/>
      <c r="C31" s="1008"/>
      <c r="D31" s="586">
        <v>4</v>
      </c>
      <c r="E31" s="728"/>
      <c r="F31" s="587"/>
      <c r="G31" s="587"/>
      <c r="H31" s="587"/>
      <c r="I31" s="587"/>
      <c r="J31" s="587"/>
      <c r="K31" s="587"/>
      <c r="L31" s="588"/>
      <c r="M31" s="610"/>
    </row>
    <row r="32" spans="2:13" ht="12.75" customHeight="1">
      <c r="B32" s="1005"/>
      <c r="C32" s="1008"/>
      <c r="D32" s="586">
        <v>5</v>
      </c>
      <c r="E32" s="728"/>
      <c r="F32" s="587"/>
      <c r="G32" s="587"/>
      <c r="H32" s="587"/>
      <c r="I32" s="587"/>
      <c r="J32" s="587"/>
      <c r="K32" s="587"/>
      <c r="L32" s="588"/>
      <c r="M32" s="610"/>
    </row>
    <row r="33" spans="2:13" ht="12.75" customHeight="1">
      <c r="B33" s="1005"/>
      <c r="C33" s="1008"/>
      <c r="D33" s="586">
        <v>6</v>
      </c>
      <c r="E33" s="728"/>
      <c r="F33" s="587"/>
      <c r="G33" s="587"/>
      <c r="H33" s="587"/>
      <c r="I33" s="587"/>
      <c r="J33" s="587"/>
      <c r="K33" s="587"/>
      <c r="L33" s="588"/>
      <c r="M33" s="610"/>
    </row>
    <row r="34" spans="2:13" ht="12.75" customHeight="1">
      <c r="B34" s="1005"/>
      <c r="C34" s="1008"/>
      <c r="D34" s="586">
        <v>7</v>
      </c>
      <c r="E34" s="728"/>
      <c r="F34" s="587"/>
      <c r="G34" s="587"/>
      <c r="H34" s="587"/>
      <c r="I34" s="587"/>
      <c r="J34" s="587"/>
      <c r="K34" s="587"/>
      <c r="L34" s="588"/>
      <c r="M34" s="610"/>
    </row>
    <row r="35" spans="2:13" ht="12.75" customHeight="1">
      <c r="B35" s="1005"/>
      <c r="C35" s="1008"/>
      <c r="D35" s="586">
        <v>8</v>
      </c>
      <c r="E35" s="728"/>
      <c r="F35" s="587"/>
      <c r="G35" s="587"/>
      <c r="H35" s="587"/>
      <c r="I35" s="587"/>
      <c r="J35" s="587"/>
      <c r="K35" s="587"/>
      <c r="L35" s="588"/>
      <c r="M35" s="610"/>
    </row>
    <row r="36" spans="2:13" ht="12.75" customHeight="1">
      <c r="B36" s="1005"/>
      <c r="C36" s="1008"/>
      <c r="D36" s="586">
        <v>9</v>
      </c>
      <c r="E36" s="728"/>
      <c r="F36" s="587"/>
      <c r="G36" s="587"/>
      <c r="H36" s="587"/>
      <c r="I36" s="587"/>
      <c r="J36" s="587"/>
      <c r="K36" s="587"/>
      <c r="L36" s="588"/>
      <c r="M36" s="610"/>
    </row>
    <row r="37" spans="2:13" ht="12.75" customHeight="1">
      <c r="B37" s="1005"/>
      <c r="C37" s="1008"/>
      <c r="D37" s="80">
        <v>10</v>
      </c>
      <c r="E37" s="729"/>
      <c r="F37" s="589"/>
      <c r="G37" s="589"/>
      <c r="H37" s="589"/>
      <c r="I37" s="589"/>
      <c r="J37" s="589"/>
      <c r="K37" s="589"/>
      <c r="L37" s="590"/>
      <c r="M37" s="610"/>
    </row>
    <row r="38" spans="2:13" ht="13.5" customHeight="1" thickBot="1">
      <c r="B38" s="1006"/>
      <c r="C38" s="1010"/>
      <c r="D38" s="591" t="str">
        <f>$D$14</f>
        <v>Total Load</v>
      </c>
      <c r="E38" s="730"/>
      <c r="F38" s="592"/>
      <c r="G38" s="592"/>
      <c r="H38" s="592"/>
      <c r="I38" s="592"/>
      <c r="J38" s="592"/>
      <c r="K38" s="592"/>
      <c r="L38" s="593"/>
      <c r="M38" s="610"/>
    </row>
    <row r="39" spans="2:13" ht="15" customHeight="1">
      <c r="B39" s="1004">
        <v>4</v>
      </c>
      <c r="C39" s="582" t="str">
        <f t="shared" ref="C39:I39" si="2">C$3</f>
        <v>Input Type</v>
      </c>
      <c r="D39" s="583" t="str">
        <f t="shared" si="2"/>
        <v>Part #</v>
      </c>
      <c r="E39" s="583" t="str">
        <f t="shared" si="2"/>
        <v>Name</v>
      </c>
      <c r="F39" s="584" t="str">
        <f t="shared" si="2"/>
        <v>m (kg)</v>
      </c>
      <c r="G39" s="584" t="str">
        <f t="shared" si="2"/>
        <v>X (m)</v>
      </c>
      <c r="H39" s="584" t="str">
        <f t="shared" si="2"/>
        <v>Y (m)</v>
      </c>
      <c r="I39" s="584" t="str">
        <f t="shared" si="2"/>
        <v>Z (m)</v>
      </c>
      <c r="J39" s="584" t="str">
        <f>IF(multi_save_input_4="CofG-SI","Ix (kgm^2)",IF(multi_save_input_4="Box","a (m)",""))</f>
        <v>a (m)</v>
      </c>
      <c r="K39" s="584" t="str">
        <f>IF(multi_save_input_4="CofG-SI","Iy (kgm^2)",IF(multi_save_input_4="Box","b (m)",""))</f>
        <v>b (m)</v>
      </c>
      <c r="L39" s="585" t="str">
        <f>IF(multi_save_input_4="CofG-SI","Iz (kgm^2)",IF(multi_save_input_4="Box","c (m)",""))</f>
        <v>c (m)</v>
      </c>
      <c r="M39" s="609" t="str">
        <f>IF(multi_save_input_4="Box","Color#","")</f>
        <v>Color#</v>
      </c>
    </row>
    <row r="40" spans="2:13" ht="12.75" customHeight="1">
      <c r="B40" s="1005"/>
      <c r="C40" s="1007" t="s">
        <v>85</v>
      </c>
      <c r="D40" s="586">
        <v>1</v>
      </c>
      <c r="E40" s="728"/>
      <c r="F40" s="587"/>
      <c r="G40" s="587"/>
      <c r="H40" s="587"/>
      <c r="I40" s="587"/>
      <c r="J40" s="587"/>
      <c r="K40" s="587"/>
      <c r="L40" s="588"/>
      <c r="M40" s="610"/>
    </row>
    <row r="41" spans="2:13" ht="12.75" customHeight="1">
      <c r="B41" s="1005"/>
      <c r="C41" s="1008"/>
      <c r="D41" s="586">
        <v>2</v>
      </c>
      <c r="E41" s="728"/>
      <c r="F41" s="587"/>
      <c r="G41" s="587"/>
      <c r="H41" s="587"/>
      <c r="I41" s="587"/>
      <c r="J41" s="587"/>
      <c r="K41" s="587"/>
      <c r="L41" s="588"/>
      <c r="M41" s="610"/>
    </row>
    <row r="42" spans="2:13" ht="12.75" customHeight="1">
      <c r="B42" s="1005"/>
      <c r="C42" s="1008"/>
      <c r="D42" s="586">
        <v>3</v>
      </c>
      <c r="E42" s="728"/>
      <c r="F42" s="587"/>
      <c r="G42" s="587"/>
      <c r="H42" s="587"/>
      <c r="I42" s="587"/>
      <c r="J42" s="587"/>
      <c r="K42" s="587"/>
      <c r="L42" s="588"/>
      <c r="M42" s="610"/>
    </row>
    <row r="43" spans="2:13" ht="12.75" customHeight="1">
      <c r="B43" s="1005"/>
      <c r="C43" s="1008"/>
      <c r="D43" s="586">
        <v>4</v>
      </c>
      <c r="E43" s="728"/>
      <c r="F43" s="587"/>
      <c r="G43" s="587"/>
      <c r="H43" s="587"/>
      <c r="I43" s="587"/>
      <c r="J43" s="587"/>
      <c r="K43" s="587"/>
      <c r="L43" s="588"/>
      <c r="M43" s="610"/>
    </row>
    <row r="44" spans="2:13" ht="12.75" customHeight="1">
      <c r="B44" s="1005"/>
      <c r="C44" s="1008"/>
      <c r="D44" s="586">
        <v>5</v>
      </c>
      <c r="E44" s="728"/>
      <c r="F44" s="587"/>
      <c r="G44" s="587"/>
      <c r="H44" s="587"/>
      <c r="I44" s="587"/>
      <c r="J44" s="587"/>
      <c r="K44" s="587"/>
      <c r="L44" s="588"/>
      <c r="M44" s="610"/>
    </row>
    <row r="45" spans="2:13" ht="12.75" customHeight="1">
      <c r="B45" s="1005"/>
      <c r="C45" s="1008"/>
      <c r="D45" s="586">
        <v>6</v>
      </c>
      <c r="E45" s="728"/>
      <c r="F45" s="587"/>
      <c r="G45" s="587"/>
      <c r="H45" s="587"/>
      <c r="I45" s="587"/>
      <c r="J45" s="587"/>
      <c r="K45" s="587"/>
      <c r="L45" s="588"/>
      <c r="M45" s="610"/>
    </row>
    <row r="46" spans="2:13" ht="12.75" customHeight="1">
      <c r="B46" s="1005"/>
      <c r="C46" s="1008"/>
      <c r="D46" s="586">
        <v>7</v>
      </c>
      <c r="E46" s="728"/>
      <c r="F46" s="587"/>
      <c r="G46" s="587"/>
      <c r="H46" s="587"/>
      <c r="I46" s="587"/>
      <c r="J46" s="587"/>
      <c r="K46" s="587"/>
      <c r="L46" s="588"/>
      <c r="M46" s="610"/>
    </row>
    <row r="47" spans="2:13" ht="12.75" customHeight="1">
      <c r="B47" s="1005"/>
      <c r="C47" s="1008"/>
      <c r="D47" s="586">
        <v>8</v>
      </c>
      <c r="E47" s="728"/>
      <c r="F47" s="587"/>
      <c r="G47" s="587"/>
      <c r="H47" s="587"/>
      <c r="I47" s="587"/>
      <c r="J47" s="587"/>
      <c r="K47" s="587"/>
      <c r="L47" s="588"/>
      <c r="M47" s="610"/>
    </row>
    <row r="48" spans="2:13" ht="12.75" customHeight="1">
      <c r="B48" s="1005"/>
      <c r="C48" s="1008"/>
      <c r="D48" s="586">
        <v>9</v>
      </c>
      <c r="E48" s="728"/>
      <c r="F48" s="587"/>
      <c r="G48" s="587"/>
      <c r="H48" s="587"/>
      <c r="I48" s="587"/>
      <c r="J48" s="587"/>
      <c r="K48" s="587"/>
      <c r="L48" s="588"/>
      <c r="M48" s="610"/>
    </row>
    <row r="49" spans="2:13" ht="12.75" customHeight="1">
      <c r="B49" s="1005"/>
      <c r="C49" s="1008"/>
      <c r="D49" s="80">
        <v>10</v>
      </c>
      <c r="E49" s="729"/>
      <c r="F49" s="589"/>
      <c r="G49" s="589"/>
      <c r="H49" s="589"/>
      <c r="I49" s="589"/>
      <c r="J49" s="589"/>
      <c r="K49" s="589"/>
      <c r="L49" s="590"/>
      <c r="M49" s="610"/>
    </row>
    <row r="50" spans="2:13" ht="13.5" customHeight="1" thickBot="1">
      <c r="B50" s="1006"/>
      <c r="C50" s="1010"/>
      <c r="D50" s="591" t="str">
        <f>$D$14</f>
        <v>Total Load</v>
      </c>
      <c r="E50" s="730"/>
      <c r="F50" s="592"/>
      <c r="G50" s="592"/>
      <c r="H50" s="592"/>
      <c r="I50" s="592"/>
      <c r="J50" s="592"/>
      <c r="K50" s="592"/>
      <c r="L50" s="593"/>
      <c r="M50" s="610"/>
    </row>
    <row r="51" spans="2:13" ht="15" customHeight="1">
      <c r="B51" s="1004">
        <v>5</v>
      </c>
      <c r="C51" s="582" t="str">
        <f t="shared" ref="C51:I51" si="3">C$3</f>
        <v>Input Type</v>
      </c>
      <c r="D51" s="583" t="str">
        <f t="shared" si="3"/>
        <v>Part #</v>
      </c>
      <c r="E51" s="583" t="str">
        <f t="shared" si="3"/>
        <v>Name</v>
      </c>
      <c r="F51" s="584" t="str">
        <f t="shared" si="3"/>
        <v>m (kg)</v>
      </c>
      <c r="G51" s="584" t="str">
        <f t="shared" si="3"/>
        <v>X (m)</v>
      </c>
      <c r="H51" s="584" t="str">
        <f t="shared" si="3"/>
        <v>Y (m)</v>
      </c>
      <c r="I51" s="584" t="str">
        <f t="shared" si="3"/>
        <v>Z (m)</v>
      </c>
      <c r="J51" s="584" t="str">
        <f>IF(multi_save_input_5="CofG-SI","Ix (kgm^2)",IF(multi_save_input_5="Box","a (m)",""))</f>
        <v/>
      </c>
      <c r="K51" s="584" t="str">
        <f>IF(multi_save_input_5="CofG-SI","Iy (kgm^2)",IF(multi_save_input_5="Box","b (m)",""))</f>
        <v/>
      </c>
      <c r="L51" s="585" t="str">
        <f>IF(multi_save_input_5="CofG-SI","Iz (kgm^2)",IF(multi_save_input_5="Box","c (m)",""))</f>
        <v/>
      </c>
      <c r="M51" s="609" t="str">
        <f>IF(multi_save_input_5="Box","Color#","")</f>
        <v/>
      </c>
    </row>
    <row r="52" spans="2:13" ht="12.75" customHeight="1">
      <c r="B52" s="1005"/>
      <c r="C52" s="1007"/>
      <c r="D52" s="586">
        <v>1</v>
      </c>
      <c r="E52" s="728"/>
      <c r="F52" s="587"/>
      <c r="G52" s="587"/>
      <c r="H52" s="587"/>
      <c r="I52" s="587"/>
      <c r="J52" s="587"/>
      <c r="K52" s="587"/>
      <c r="L52" s="588"/>
      <c r="M52" s="610"/>
    </row>
    <row r="53" spans="2:13" ht="12.75" customHeight="1">
      <c r="B53" s="1005"/>
      <c r="C53" s="1008"/>
      <c r="D53" s="586">
        <v>2</v>
      </c>
      <c r="E53" s="728"/>
      <c r="F53" s="587"/>
      <c r="G53" s="587"/>
      <c r="H53" s="587"/>
      <c r="I53" s="587"/>
      <c r="J53" s="587"/>
      <c r="K53" s="587"/>
      <c r="L53" s="588"/>
      <c r="M53" s="610"/>
    </row>
    <row r="54" spans="2:13" ht="12.75" customHeight="1">
      <c r="B54" s="1005"/>
      <c r="C54" s="1008"/>
      <c r="D54" s="586">
        <v>3</v>
      </c>
      <c r="E54" s="728"/>
      <c r="F54" s="587"/>
      <c r="G54" s="587"/>
      <c r="H54" s="587"/>
      <c r="I54" s="587"/>
      <c r="J54" s="587"/>
      <c r="K54" s="587"/>
      <c r="L54" s="588"/>
      <c r="M54" s="610"/>
    </row>
    <row r="55" spans="2:13" ht="12.75" customHeight="1">
      <c r="B55" s="1005"/>
      <c r="C55" s="1008"/>
      <c r="D55" s="586">
        <v>4</v>
      </c>
      <c r="E55" s="728"/>
      <c r="F55" s="587"/>
      <c r="G55" s="587"/>
      <c r="H55" s="587"/>
      <c r="I55" s="587"/>
      <c r="J55" s="587"/>
      <c r="K55" s="587"/>
      <c r="L55" s="588"/>
      <c r="M55" s="610"/>
    </row>
    <row r="56" spans="2:13" ht="12.75" customHeight="1">
      <c r="B56" s="1005"/>
      <c r="C56" s="1008"/>
      <c r="D56" s="586">
        <v>5</v>
      </c>
      <c r="E56" s="728"/>
      <c r="F56" s="587"/>
      <c r="G56" s="587"/>
      <c r="H56" s="587"/>
      <c r="I56" s="587"/>
      <c r="J56" s="587"/>
      <c r="K56" s="587"/>
      <c r="L56" s="588"/>
      <c r="M56" s="610"/>
    </row>
    <row r="57" spans="2:13" ht="12.75" customHeight="1">
      <c r="B57" s="1005"/>
      <c r="C57" s="1008"/>
      <c r="D57" s="586">
        <v>6</v>
      </c>
      <c r="E57" s="728"/>
      <c r="F57" s="587"/>
      <c r="G57" s="587"/>
      <c r="H57" s="587"/>
      <c r="I57" s="587"/>
      <c r="J57" s="587"/>
      <c r="K57" s="587"/>
      <c r="L57" s="588"/>
      <c r="M57" s="610"/>
    </row>
    <row r="58" spans="2:13" ht="12.75" customHeight="1">
      <c r="B58" s="1005"/>
      <c r="C58" s="1008"/>
      <c r="D58" s="586">
        <v>7</v>
      </c>
      <c r="E58" s="728"/>
      <c r="F58" s="587"/>
      <c r="G58" s="587"/>
      <c r="H58" s="587"/>
      <c r="I58" s="587"/>
      <c r="J58" s="587"/>
      <c r="K58" s="587"/>
      <c r="L58" s="588"/>
      <c r="M58" s="610"/>
    </row>
    <row r="59" spans="2:13" ht="12.75" customHeight="1">
      <c r="B59" s="1005"/>
      <c r="C59" s="1008"/>
      <c r="D59" s="586">
        <v>8</v>
      </c>
      <c r="E59" s="728"/>
      <c r="F59" s="587"/>
      <c r="G59" s="587"/>
      <c r="H59" s="587"/>
      <c r="I59" s="587"/>
      <c r="J59" s="587"/>
      <c r="K59" s="587"/>
      <c r="L59" s="588"/>
      <c r="M59" s="610"/>
    </row>
    <row r="60" spans="2:13" ht="12.75" customHeight="1">
      <c r="B60" s="1005"/>
      <c r="C60" s="1008"/>
      <c r="D60" s="586">
        <v>9</v>
      </c>
      <c r="E60" s="728"/>
      <c r="F60" s="587"/>
      <c r="G60" s="587"/>
      <c r="H60" s="587"/>
      <c r="I60" s="587"/>
      <c r="J60" s="587"/>
      <c r="K60" s="587"/>
      <c r="L60" s="588"/>
      <c r="M60" s="610"/>
    </row>
    <row r="61" spans="2:13" ht="12.75" customHeight="1">
      <c r="B61" s="1005"/>
      <c r="C61" s="1008"/>
      <c r="D61" s="80">
        <v>10</v>
      </c>
      <c r="E61" s="729"/>
      <c r="F61" s="589"/>
      <c r="G61" s="589"/>
      <c r="H61" s="589"/>
      <c r="I61" s="589"/>
      <c r="J61" s="589"/>
      <c r="K61" s="589"/>
      <c r="L61" s="590"/>
      <c r="M61" s="610"/>
    </row>
    <row r="62" spans="2:13" ht="13.5" customHeight="1" thickBot="1">
      <c r="B62" s="1006"/>
      <c r="C62" s="1010"/>
      <c r="D62" s="591" t="str">
        <f>$D$14</f>
        <v>Total Load</v>
      </c>
      <c r="E62" s="730"/>
      <c r="F62" s="592"/>
      <c r="G62" s="592"/>
      <c r="H62" s="592"/>
      <c r="I62" s="592"/>
      <c r="J62" s="592"/>
      <c r="K62" s="592"/>
      <c r="L62" s="593"/>
      <c r="M62" s="610"/>
    </row>
    <row r="63" spans="2:13" ht="15" customHeight="1">
      <c r="B63" s="1004">
        <v>6</v>
      </c>
      <c r="C63" s="582" t="str">
        <f t="shared" ref="C63:I63" si="4">C$3</f>
        <v>Input Type</v>
      </c>
      <c r="D63" s="583" t="str">
        <f t="shared" si="4"/>
        <v>Part #</v>
      </c>
      <c r="E63" s="583" t="str">
        <f t="shared" si="4"/>
        <v>Name</v>
      </c>
      <c r="F63" s="584" t="str">
        <f t="shared" si="4"/>
        <v>m (kg)</v>
      </c>
      <c r="G63" s="584" t="str">
        <f t="shared" si="4"/>
        <v>X (m)</v>
      </c>
      <c r="H63" s="584" t="str">
        <f t="shared" si="4"/>
        <v>Y (m)</v>
      </c>
      <c r="I63" s="584" t="str">
        <f t="shared" si="4"/>
        <v>Z (m)</v>
      </c>
      <c r="J63" s="584" t="str">
        <f>IF(multi_save_input_6="CofG-SI","Ix (kgm^2)",IF(multi_save_input_6="Box","a (m)",""))</f>
        <v/>
      </c>
      <c r="K63" s="584" t="str">
        <f>IF(multi_save_input_6="CofG-SI","Iy (kgm^2)",IF(multi_save_input_6="Box","b (m)",""))</f>
        <v/>
      </c>
      <c r="L63" s="585" t="str">
        <f>IF(multi_save_input_6="CofG-SI","Iz (kgm^2)",IF(multi_save_input_6="Box","c (m)",""))</f>
        <v/>
      </c>
      <c r="M63" s="609" t="str">
        <f>IF(multi_save_input_6="Box","Color#","")</f>
        <v/>
      </c>
    </row>
    <row r="64" spans="2:13">
      <c r="B64" s="1005"/>
      <c r="C64" s="1007"/>
      <c r="D64" s="586">
        <v>1</v>
      </c>
      <c r="E64" s="728"/>
      <c r="F64" s="587"/>
      <c r="G64" s="587"/>
      <c r="H64" s="587"/>
      <c r="I64" s="587"/>
      <c r="J64" s="587"/>
      <c r="K64" s="587"/>
      <c r="L64" s="588"/>
      <c r="M64" s="610"/>
    </row>
    <row r="65" spans="2:13">
      <c r="B65" s="1005"/>
      <c r="C65" s="1008"/>
      <c r="D65" s="586">
        <v>2</v>
      </c>
      <c r="E65" s="728"/>
      <c r="F65" s="587"/>
      <c r="G65" s="587"/>
      <c r="H65" s="587"/>
      <c r="I65" s="587"/>
      <c r="J65" s="587"/>
      <c r="K65" s="587"/>
      <c r="L65" s="588"/>
      <c r="M65" s="610"/>
    </row>
    <row r="66" spans="2:13">
      <c r="B66" s="1005"/>
      <c r="C66" s="1008"/>
      <c r="D66" s="586">
        <v>3</v>
      </c>
      <c r="E66" s="728"/>
      <c r="F66" s="587"/>
      <c r="G66" s="587"/>
      <c r="H66" s="587"/>
      <c r="I66" s="587"/>
      <c r="J66" s="587"/>
      <c r="K66" s="587"/>
      <c r="L66" s="588"/>
      <c r="M66" s="610"/>
    </row>
    <row r="67" spans="2:13">
      <c r="B67" s="1005"/>
      <c r="C67" s="1008"/>
      <c r="D67" s="586">
        <v>4</v>
      </c>
      <c r="E67" s="728"/>
      <c r="F67" s="587"/>
      <c r="G67" s="587"/>
      <c r="H67" s="587"/>
      <c r="I67" s="587"/>
      <c r="J67" s="587"/>
      <c r="K67" s="587"/>
      <c r="L67" s="588"/>
      <c r="M67" s="610"/>
    </row>
    <row r="68" spans="2:13">
      <c r="B68" s="1005"/>
      <c r="C68" s="1008"/>
      <c r="D68" s="586">
        <v>5</v>
      </c>
      <c r="E68" s="728"/>
      <c r="F68" s="587"/>
      <c r="G68" s="587"/>
      <c r="H68" s="587"/>
      <c r="I68" s="587"/>
      <c r="J68" s="587"/>
      <c r="K68" s="587"/>
      <c r="L68" s="588"/>
      <c r="M68" s="610"/>
    </row>
    <row r="69" spans="2:13">
      <c r="B69" s="1005"/>
      <c r="C69" s="1008"/>
      <c r="D69" s="586">
        <v>6</v>
      </c>
      <c r="E69" s="728"/>
      <c r="F69" s="587"/>
      <c r="G69" s="587"/>
      <c r="H69" s="587"/>
      <c r="I69" s="587"/>
      <c r="J69" s="587"/>
      <c r="K69" s="587"/>
      <c r="L69" s="588"/>
      <c r="M69" s="610"/>
    </row>
    <row r="70" spans="2:13">
      <c r="B70" s="1005"/>
      <c r="C70" s="1008"/>
      <c r="D70" s="586">
        <v>7</v>
      </c>
      <c r="E70" s="728"/>
      <c r="F70" s="587"/>
      <c r="G70" s="587"/>
      <c r="H70" s="587"/>
      <c r="I70" s="587"/>
      <c r="J70" s="587"/>
      <c r="K70" s="587"/>
      <c r="L70" s="588"/>
      <c r="M70" s="610"/>
    </row>
    <row r="71" spans="2:13">
      <c r="B71" s="1005"/>
      <c r="C71" s="1008"/>
      <c r="D71" s="586">
        <v>8</v>
      </c>
      <c r="E71" s="728"/>
      <c r="F71" s="587"/>
      <c r="G71" s="587"/>
      <c r="H71" s="587"/>
      <c r="I71" s="587"/>
      <c r="J71" s="587"/>
      <c r="K71" s="587"/>
      <c r="L71" s="588"/>
      <c r="M71" s="610"/>
    </row>
    <row r="72" spans="2:13">
      <c r="B72" s="1005"/>
      <c r="C72" s="1008"/>
      <c r="D72" s="586">
        <v>9</v>
      </c>
      <c r="E72" s="728"/>
      <c r="F72" s="587"/>
      <c r="G72" s="587"/>
      <c r="H72" s="587"/>
      <c r="I72" s="587"/>
      <c r="J72" s="587"/>
      <c r="K72" s="587"/>
      <c r="L72" s="588"/>
      <c r="M72" s="610"/>
    </row>
    <row r="73" spans="2:13">
      <c r="B73" s="1005"/>
      <c r="C73" s="1008"/>
      <c r="D73" s="80">
        <v>10</v>
      </c>
      <c r="E73" s="729"/>
      <c r="F73" s="589"/>
      <c r="G73" s="589"/>
      <c r="H73" s="589"/>
      <c r="I73" s="589"/>
      <c r="J73" s="589"/>
      <c r="K73" s="589"/>
      <c r="L73" s="590"/>
      <c r="M73" s="610"/>
    </row>
    <row r="74" spans="2:13" ht="13.5" customHeight="1" thickBot="1">
      <c r="B74" s="1006"/>
      <c r="C74" s="1009"/>
      <c r="D74" s="591" t="str">
        <f>$D$14</f>
        <v>Total Load</v>
      </c>
      <c r="E74" s="730"/>
      <c r="F74" s="592"/>
      <c r="G74" s="592"/>
      <c r="H74" s="592"/>
      <c r="I74" s="592"/>
      <c r="J74" s="592"/>
      <c r="K74" s="592"/>
      <c r="L74" s="593"/>
      <c r="M74" s="610"/>
    </row>
    <row r="75" spans="2:13" ht="15" customHeight="1">
      <c r="B75" s="1004">
        <v>7</v>
      </c>
      <c r="C75" s="582" t="str">
        <f t="shared" ref="C75:I75" si="5">C$3</f>
        <v>Input Type</v>
      </c>
      <c r="D75" s="583" t="str">
        <f t="shared" si="5"/>
        <v>Part #</v>
      </c>
      <c r="E75" s="583" t="str">
        <f t="shared" si="5"/>
        <v>Name</v>
      </c>
      <c r="F75" s="584" t="str">
        <f t="shared" si="5"/>
        <v>m (kg)</v>
      </c>
      <c r="G75" s="584" t="str">
        <f t="shared" si="5"/>
        <v>X (m)</v>
      </c>
      <c r="H75" s="584" t="str">
        <f t="shared" si="5"/>
        <v>Y (m)</v>
      </c>
      <c r="I75" s="584" t="str">
        <f t="shared" si="5"/>
        <v>Z (m)</v>
      </c>
      <c r="J75" s="584" t="str">
        <f>IF(multi_save_input_7="CofG-SI","Ix (kgm^2)",IF(multi_save_input_7="Box","a (m)",""))</f>
        <v/>
      </c>
      <c r="K75" s="584" t="str">
        <f>IF(multi_save_input_7="CofG-SI","Iy (kgm^2)",IF(multi_save_input_7="Box","b (m)",""))</f>
        <v/>
      </c>
      <c r="L75" s="585" t="str">
        <f>IF(multi_save_input_7="CofG-SI","Iz (kgm^2)",IF(multi_save_input_7="Box","c (m)",""))</f>
        <v/>
      </c>
      <c r="M75" s="609" t="str">
        <f>IF(multi_save_input_7="Box","Color#","")</f>
        <v/>
      </c>
    </row>
    <row r="76" spans="2:13">
      <c r="B76" s="1005"/>
      <c r="C76" s="1007"/>
      <c r="D76" s="586">
        <v>1</v>
      </c>
      <c r="E76" s="728"/>
      <c r="F76" s="587"/>
      <c r="G76" s="587"/>
      <c r="H76" s="587"/>
      <c r="I76" s="587"/>
      <c r="J76" s="587"/>
      <c r="K76" s="587"/>
      <c r="L76" s="588"/>
      <c r="M76" s="610"/>
    </row>
    <row r="77" spans="2:13">
      <c r="B77" s="1005"/>
      <c r="C77" s="1008"/>
      <c r="D77" s="586">
        <v>2</v>
      </c>
      <c r="E77" s="728"/>
      <c r="F77" s="587"/>
      <c r="G77" s="587"/>
      <c r="H77" s="587"/>
      <c r="I77" s="587"/>
      <c r="J77" s="587"/>
      <c r="K77" s="587"/>
      <c r="L77" s="588"/>
      <c r="M77" s="610"/>
    </row>
    <row r="78" spans="2:13">
      <c r="B78" s="1005"/>
      <c r="C78" s="1008"/>
      <c r="D78" s="586">
        <v>3</v>
      </c>
      <c r="E78" s="728"/>
      <c r="F78" s="587"/>
      <c r="G78" s="587"/>
      <c r="H78" s="587"/>
      <c r="I78" s="587"/>
      <c r="J78" s="587"/>
      <c r="K78" s="587"/>
      <c r="L78" s="588"/>
      <c r="M78" s="610"/>
    </row>
    <row r="79" spans="2:13">
      <c r="B79" s="1005"/>
      <c r="C79" s="1008"/>
      <c r="D79" s="586">
        <v>4</v>
      </c>
      <c r="E79" s="728"/>
      <c r="F79" s="587"/>
      <c r="G79" s="587"/>
      <c r="H79" s="587"/>
      <c r="I79" s="587"/>
      <c r="J79" s="587"/>
      <c r="K79" s="587"/>
      <c r="L79" s="588"/>
      <c r="M79" s="610"/>
    </row>
    <row r="80" spans="2:13">
      <c r="B80" s="1005"/>
      <c r="C80" s="1008"/>
      <c r="D80" s="586">
        <v>5</v>
      </c>
      <c r="E80" s="728"/>
      <c r="F80" s="587"/>
      <c r="G80" s="587"/>
      <c r="H80" s="587"/>
      <c r="I80" s="587"/>
      <c r="J80" s="587"/>
      <c r="K80" s="587"/>
      <c r="L80" s="588"/>
      <c r="M80" s="610"/>
    </row>
    <row r="81" spans="2:13">
      <c r="B81" s="1005"/>
      <c r="C81" s="1008"/>
      <c r="D81" s="586">
        <v>6</v>
      </c>
      <c r="E81" s="728"/>
      <c r="F81" s="587"/>
      <c r="G81" s="587"/>
      <c r="H81" s="587"/>
      <c r="I81" s="587"/>
      <c r="J81" s="587"/>
      <c r="K81" s="587"/>
      <c r="L81" s="588"/>
      <c r="M81" s="610"/>
    </row>
    <row r="82" spans="2:13">
      <c r="B82" s="1005"/>
      <c r="C82" s="1008"/>
      <c r="D82" s="586">
        <v>7</v>
      </c>
      <c r="E82" s="728"/>
      <c r="F82" s="587"/>
      <c r="G82" s="587"/>
      <c r="H82" s="587"/>
      <c r="I82" s="587"/>
      <c r="J82" s="587"/>
      <c r="K82" s="587"/>
      <c r="L82" s="588"/>
      <c r="M82" s="610"/>
    </row>
    <row r="83" spans="2:13">
      <c r="B83" s="1005"/>
      <c r="C83" s="1008"/>
      <c r="D83" s="586">
        <v>8</v>
      </c>
      <c r="E83" s="728"/>
      <c r="F83" s="587"/>
      <c r="G83" s="587"/>
      <c r="H83" s="587"/>
      <c r="I83" s="587"/>
      <c r="J83" s="587"/>
      <c r="K83" s="587"/>
      <c r="L83" s="588"/>
      <c r="M83" s="610"/>
    </row>
    <row r="84" spans="2:13">
      <c r="B84" s="1005"/>
      <c r="C84" s="1008"/>
      <c r="D84" s="586">
        <v>9</v>
      </c>
      <c r="E84" s="728"/>
      <c r="F84" s="587"/>
      <c r="G84" s="587"/>
      <c r="H84" s="587"/>
      <c r="I84" s="587"/>
      <c r="J84" s="587"/>
      <c r="K84" s="587"/>
      <c r="L84" s="588"/>
      <c r="M84" s="610"/>
    </row>
    <row r="85" spans="2:13">
      <c r="B85" s="1005"/>
      <c r="C85" s="1008"/>
      <c r="D85" s="80">
        <v>10</v>
      </c>
      <c r="E85" s="729"/>
      <c r="F85" s="589"/>
      <c r="G85" s="589"/>
      <c r="H85" s="589"/>
      <c r="I85" s="589"/>
      <c r="J85" s="589"/>
      <c r="K85" s="589"/>
      <c r="L85" s="590"/>
      <c r="M85" s="610"/>
    </row>
    <row r="86" spans="2:13" ht="13.5" customHeight="1" thickBot="1">
      <c r="B86" s="1006"/>
      <c r="C86" s="1009"/>
      <c r="D86" s="591" t="str">
        <f>$D$14</f>
        <v>Total Load</v>
      </c>
      <c r="E86" s="730"/>
      <c r="F86" s="592"/>
      <c r="G86" s="592"/>
      <c r="H86" s="592"/>
      <c r="I86" s="592"/>
      <c r="J86" s="592"/>
      <c r="K86" s="592"/>
      <c r="L86" s="593"/>
      <c r="M86" s="610"/>
    </row>
    <row r="87" spans="2:13" ht="15" customHeight="1">
      <c r="B87" s="1004">
        <v>8</v>
      </c>
      <c r="C87" s="582" t="str">
        <f t="shared" ref="C87:I87" si="6">C$3</f>
        <v>Input Type</v>
      </c>
      <c r="D87" s="583" t="str">
        <f t="shared" si="6"/>
        <v>Part #</v>
      </c>
      <c r="E87" s="583" t="str">
        <f t="shared" si="6"/>
        <v>Name</v>
      </c>
      <c r="F87" s="584" t="str">
        <f t="shared" si="6"/>
        <v>m (kg)</v>
      </c>
      <c r="G87" s="584" t="str">
        <f t="shared" si="6"/>
        <v>X (m)</v>
      </c>
      <c r="H87" s="584" t="str">
        <f t="shared" si="6"/>
        <v>Y (m)</v>
      </c>
      <c r="I87" s="584" t="str">
        <f t="shared" si="6"/>
        <v>Z (m)</v>
      </c>
      <c r="J87" s="584" t="str">
        <f>IF(multi_save_input_8="CofG-SI","Ix (kgm^2)",IF(multi_save_input_8="Box","a (m)",""))</f>
        <v/>
      </c>
      <c r="K87" s="584" t="str">
        <f>IF(multi_save_input_8="CofG-SI","Iy (kgm^2)",IF(multi_save_input_8="Box","b (m)",""))</f>
        <v/>
      </c>
      <c r="L87" s="585" t="str">
        <f>IF(multi_save_input_8="CofG-SI","Iz (kgm^2)",IF(multi_save_input_8="Box","c (m)",""))</f>
        <v/>
      </c>
      <c r="M87" s="609" t="str">
        <f>IF(multi_save_input_8="Box","Color#","")</f>
        <v/>
      </c>
    </row>
    <row r="88" spans="2:13">
      <c r="B88" s="1005"/>
      <c r="C88" s="1007"/>
      <c r="D88" s="586">
        <v>1</v>
      </c>
      <c r="E88" s="728"/>
      <c r="F88" s="587"/>
      <c r="G88" s="587"/>
      <c r="H88" s="587"/>
      <c r="I88" s="587"/>
      <c r="J88" s="587"/>
      <c r="K88" s="587"/>
      <c r="L88" s="588"/>
      <c r="M88" s="610"/>
    </row>
    <row r="89" spans="2:13">
      <c r="B89" s="1005"/>
      <c r="C89" s="1008"/>
      <c r="D89" s="586">
        <v>2</v>
      </c>
      <c r="E89" s="728"/>
      <c r="F89" s="587"/>
      <c r="G89" s="587"/>
      <c r="H89" s="587"/>
      <c r="I89" s="587"/>
      <c r="J89" s="587"/>
      <c r="K89" s="587"/>
      <c r="L89" s="588"/>
      <c r="M89" s="610"/>
    </row>
    <row r="90" spans="2:13">
      <c r="B90" s="1005"/>
      <c r="C90" s="1008"/>
      <c r="D90" s="586">
        <v>3</v>
      </c>
      <c r="E90" s="728"/>
      <c r="F90" s="587"/>
      <c r="G90" s="587"/>
      <c r="H90" s="587"/>
      <c r="I90" s="587"/>
      <c r="J90" s="587"/>
      <c r="K90" s="587"/>
      <c r="L90" s="588"/>
      <c r="M90" s="610"/>
    </row>
    <row r="91" spans="2:13">
      <c r="B91" s="1005"/>
      <c r="C91" s="1008"/>
      <c r="D91" s="586">
        <v>4</v>
      </c>
      <c r="E91" s="728"/>
      <c r="F91" s="587"/>
      <c r="G91" s="587"/>
      <c r="H91" s="587"/>
      <c r="I91" s="587"/>
      <c r="J91" s="587"/>
      <c r="K91" s="587"/>
      <c r="L91" s="588"/>
      <c r="M91" s="610"/>
    </row>
    <row r="92" spans="2:13">
      <c r="B92" s="1005"/>
      <c r="C92" s="1008"/>
      <c r="D92" s="586">
        <v>5</v>
      </c>
      <c r="E92" s="728"/>
      <c r="F92" s="587"/>
      <c r="G92" s="587"/>
      <c r="H92" s="587"/>
      <c r="I92" s="587"/>
      <c r="J92" s="587"/>
      <c r="K92" s="587"/>
      <c r="L92" s="588"/>
      <c r="M92" s="610"/>
    </row>
    <row r="93" spans="2:13">
      <c r="B93" s="1005"/>
      <c r="C93" s="1008"/>
      <c r="D93" s="586">
        <v>6</v>
      </c>
      <c r="E93" s="728"/>
      <c r="F93" s="587"/>
      <c r="G93" s="587"/>
      <c r="H93" s="587"/>
      <c r="I93" s="587"/>
      <c r="J93" s="587"/>
      <c r="K93" s="587"/>
      <c r="L93" s="588"/>
      <c r="M93" s="610"/>
    </row>
    <row r="94" spans="2:13">
      <c r="B94" s="1005"/>
      <c r="C94" s="1008"/>
      <c r="D94" s="586">
        <v>7</v>
      </c>
      <c r="E94" s="728"/>
      <c r="F94" s="587"/>
      <c r="G94" s="587"/>
      <c r="H94" s="587"/>
      <c r="I94" s="587"/>
      <c r="J94" s="587"/>
      <c r="K94" s="587"/>
      <c r="L94" s="588"/>
      <c r="M94" s="610"/>
    </row>
    <row r="95" spans="2:13">
      <c r="B95" s="1005"/>
      <c r="C95" s="1008"/>
      <c r="D95" s="586">
        <v>8</v>
      </c>
      <c r="E95" s="728"/>
      <c r="F95" s="587"/>
      <c r="G95" s="587"/>
      <c r="H95" s="587"/>
      <c r="I95" s="587"/>
      <c r="J95" s="587"/>
      <c r="K95" s="587"/>
      <c r="L95" s="588"/>
      <c r="M95" s="610"/>
    </row>
    <row r="96" spans="2:13">
      <c r="B96" s="1005"/>
      <c r="C96" s="1008"/>
      <c r="D96" s="586">
        <v>9</v>
      </c>
      <c r="E96" s="728"/>
      <c r="F96" s="587"/>
      <c r="G96" s="587"/>
      <c r="H96" s="587"/>
      <c r="I96" s="587"/>
      <c r="J96" s="587"/>
      <c r="K96" s="587"/>
      <c r="L96" s="588"/>
      <c r="M96" s="610"/>
    </row>
    <row r="97" spans="2:13">
      <c r="B97" s="1005"/>
      <c r="C97" s="1008"/>
      <c r="D97" s="80">
        <v>10</v>
      </c>
      <c r="E97" s="729"/>
      <c r="F97" s="589"/>
      <c r="G97" s="589"/>
      <c r="H97" s="589"/>
      <c r="I97" s="589"/>
      <c r="J97" s="589"/>
      <c r="K97" s="589"/>
      <c r="L97" s="590"/>
      <c r="M97" s="610"/>
    </row>
    <row r="98" spans="2:13" ht="13.5" customHeight="1" thickBot="1">
      <c r="B98" s="1006"/>
      <c r="C98" s="1009"/>
      <c r="D98" s="591" t="str">
        <f>$D$14</f>
        <v>Total Load</v>
      </c>
      <c r="E98" s="730"/>
      <c r="F98" s="592"/>
      <c r="G98" s="592"/>
      <c r="H98" s="592"/>
      <c r="I98" s="592"/>
      <c r="J98" s="592"/>
      <c r="K98" s="592"/>
      <c r="L98" s="593"/>
      <c r="M98" s="610"/>
    </row>
    <row r="99" spans="2:13" ht="15" customHeight="1">
      <c r="B99" s="1004">
        <v>9</v>
      </c>
      <c r="C99" s="582" t="str">
        <f t="shared" ref="C99:I99" si="7">C$3</f>
        <v>Input Type</v>
      </c>
      <c r="D99" s="583" t="str">
        <f t="shared" si="7"/>
        <v>Part #</v>
      </c>
      <c r="E99" s="583" t="str">
        <f t="shared" si="7"/>
        <v>Name</v>
      </c>
      <c r="F99" s="584" t="str">
        <f t="shared" si="7"/>
        <v>m (kg)</v>
      </c>
      <c r="G99" s="584" t="str">
        <f t="shared" si="7"/>
        <v>X (m)</v>
      </c>
      <c r="H99" s="584" t="str">
        <f t="shared" si="7"/>
        <v>Y (m)</v>
      </c>
      <c r="I99" s="584" t="str">
        <f t="shared" si="7"/>
        <v>Z (m)</v>
      </c>
      <c r="J99" s="584" t="str">
        <f>IF(multi_save_input_9="CofG-SI","Ix (kgm^2)",IF(multi_save_input_9="Box","a (m)",""))</f>
        <v/>
      </c>
      <c r="K99" s="584" t="str">
        <f>IF(multi_save_input_9="CofG-SI","Iy (kgm^2)",IF(multi_save_input_9="Box","b (m)",""))</f>
        <v/>
      </c>
      <c r="L99" s="585" t="str">
        <f>IF(multi_save_input_9="CofG-SI","Iz (kgm^2)",IF(multi_save_input_9="Box","c (m)",""))</f>
        <v/>
      </c>
      <c r="M99" s="609" t="str">
        <f>IF(multi_save_input_9="Box","Color#","")</f>
        <v/>
      </c>
    </row>
    <row r="100" spans="2:13">
      <c r="B100" s="1005"/>
      <c r="C100" s="1007"/>
      <c r="D100" s="586">
        <v>1</v>
      </c>
      <c r="E100" s="728"/>
      <c r="F100" s="587"/>
      <c r="G100" s="587"/>
      <c r="H100" s="587"/>
      <c r="I100" s="587"/>
      <c r="J100" s="587"/>
      <c r="K100" s="587"/>
      <c r="L100" s="588"/>
      <c r="M100" s="610"/>
    </row>
    <row r="101" spans="2:13">
      <c r="B101" s="1005"/>
      <c r="C101" s="1008"/>
      <c r="D101" s="586">
        <v>2</v>
      </c>
      <c r="E101" s="728"/>
      <c r="F101" s="587"/>
      <c r="G101" s="587"/>
      <c r="H101" s="587"/>
      <c r="I101" s="587"/>
      <c r="J101" s="587"/>
      <c r="K101" s="587"/>
      <c r="L101" s="588"/>
      <c r="M101" s="610"/>
    </row>
    <row r="102" spans="2:13">
      <c r="B102" s="1005"/>
      <c r="C102" s="1008"/>
      <c r="D102" s="586">
        <v>3</v>
      </c>
      <c r="E102" s="728"/>
      <c r="F102" s="587"/>
      <c r="G102" s="587"/>
      <c r="H102" s="587"/>
      <c r="I102" s="587"/>
      <c r="J102" s="587"/>
      <c r="K102" s="587"/>
      <c r="L102" s="588"/>
      <c r="M102" s="610"/>
    </row>
    <row r="103" spans="2:13">
      <c r="B103" s="1005"/>
      <c r="C103" s="1008"/>
      <c r="D103" s="586">
        <v>4</v>
      </c>
      <c r="E103" s="728"/>
      <c r="F103" s="587"/>
      <c r="G103" s="587"/>
      <c r="H103" s="587"/>
      <c r="I103" s="587"/>
      <c r="J103" s="587"/>
      <c r="K103" s="587"/>
      <c r="L103" s="588"/>
      <c r="M103" s="610"/>
    </row>
    <row r="104" spans="2:13">
      <c r="B104" s="1005"/>
      <c r="C104" s="1008"/>
      <c r="D104" s="586">
        <v>5</v>
      </c>
      <c r="E104" s="728"/>
      <c r="F104" s="587"/>
      <c r="G104" s="587"/>
      <c r="H104" s="587"/>
      <c r="I104" s="587"/>
      <c r="J104" s="587"/>
      <c r="K104" s="587"/>
      <c r="L104" s="588"/>
      <c r="M104" s="610"/>
    </row>
    <row r="105" spans="2:13">
      <c r="B105" s="1005"/>
      <c r="C105" s="1008"/>
      <c r="D105" s="586">
        <v>6</v>
      </c>
      <c r="E105" s="728"/>
      <c r="F105" s="587"/>
      <c r="G105" s="587"/>
      <c r="H105" s="587"/>
      <c r="I105" s="587"/>
      <c r="J105" s="587"/>
      <c r="K105" s="587"/>
      <c r="L105" s="588"/>
      <c r="M105" s="610"/>
    </row>
    <row r="106" spans="2:13">
      <c r="B106" s="1005"/>
      <c r="C106" s="1008"/>
      <c r="D106" s="586">
        <v>7</v>
      </c>
      <c r="E106" s="728"/>
      <c r="F106" s="587"/>
      <c r="G106" s="587"/>
      <c r="H106" s="587"/>
      <c r="I106" s="587"/>
      <c r="J106" s="587"/>
      <c r="K106" s="587"/>
      <c r="L106" s="588"/>
      <c r="M106" s="610"/>
    </row>
    <row r="107" spans="2:13">
      <c r="B107" s="1005"/>
      <c r="C107" s="1008"/>
      <c r="D107" s="586">
        <v>8</v>
      </c>
      <c r="E107" s="728"/>
      <c r="F107" s="587"/>
      <c r="G107" s="587"/>
      <c r="H107" s="587"/>
      <c r="I107" s="587"/>
      <c r="J107" s="587"/>
      <c r="K107" s="587"/>
      <c r="L107" s="588"/>
      <c r="M107" s="610"/>
    </row>
    <row r="108" spans="2:13">
      <c r="B108" s="1005"/>
      <c r="C108" s="1008"/>
      <c r="D108" s="586">
        <v>9</v>
      </c>
      <c r="E108" s="728"/>
      <c r="F108" s="587"/>
      <c r="G108" s="587"/>
      <c r="H108" s="587"/>
      <c r="I108" s="587"/>
      <c r="J108" s="587"/>
      <c r="K108" s="587"/>
      <c r="L108" s="588"/>
      <c r="M108" s="610"/>
    </row>
    <row r="109" spans="2:13">
      <c r="B109" s="1005"/>
      <c r="C109" s="1008"/>
      <c r="D109" s="80">
        <v>10</v>
      </c>
      <c r="E109" s="729"/>
      <c r="F109" s="589"/>
      <c r="G109" s="589"/>
      <c r="H109" s="589"/>
      <c r="I109" s="589"/>
      <c r="J109" s="589"/>
      <c r="K109" s="589"/>
      <c r="L109" s="590"/>
      <c r="M109" s="610"/>
    </row>
    <row r="110" spans="2:13" ht="13.5" customHeight="1" thickBot="1">
      <c r="B110" s="1006"/>
      <c r="C110" s="1009"/>
      <c r="D110" s="591" t="str">
        <f>$D$14</f>
        <v>Total Load</v>
      </c>
      <c r="E110" s="730"/>
      <c r="F110" s="592"/>
      <c r="G110" s="592"/>
      <c r="H110" s="592"/>
      <c r="I110" s="592"/>
      <c r="J110" s="592"/>
      <c r="K110" s="592"/>
      <c r="L110" s="593"/>
      <c r="M110" s="610"/>
    </row>
    <row r="111" spans="2:13" ht="15" customHeight="1">
      <c r="B111" s="1004">
        <v>10</v>
      </c>
      <c r="C111" s="582" t="str">
        <f t="shared" ref="C111:I111" si="8">C$3</f>
        <v>Input Type</v>
      </c>
      <c r="D111" s="583" t="str">
        <f t="shared" si="8"/>
        <v>Part #</v>
      </c>
      <c r="E111" s="583" t="str">
        <f t="shared" si="8"/>
        <v>Name</v>
      </c>
      <c r="F111" s="584" t="str">
        <f t="shared" si="8"/>
        <v>m (kg)</v>
      </c>
      <c r="G111" s="584" t="str">
        <f t="shared" si="8"/>
        <v>X (m)</v>
      </c>
      <c r="H111" s="584" t="str">
        <f t="shared" si="8"/>
        <v>Y (m)</v>
      </c>
      <c r="I111" s="584" t="str">
        <f t="shared" si="8"/>
        <v>Z (m)</v>
      </c>
      <c r="J111" s="584" t="str">
        <f>IF(multi_save_input_10="CofG-SI","Ix (kgm^2)",IF(multi_save_input_10="Box","a (m)",""))</f>
        <v>a (m)</v>
      </c>
      <c r="K111" s="584" t="str">
        <f>IF(multi_save_input_10="CofG-SI","Iy (kgm^2)",IF(multi_save_input_10="Box","b (m)",""))</f>
        <v>b (m)</v>
      </c>
      <c r="L111" s="585" t="str">
        <f>IF(multi_save_input_10="CofG-SI","Iz (kgm^2)",IF(multi_save_input_10="Box","c (m)",""))</f>
        <v>c (m)</v>
      </c>
      <c r="M111" s="609" t="str">
        <f>IF(multi_save_input_10="Box","Color#","")</f>
        <v>Color#</v>
      </c>
    </row>
    <row r="112" spans="2:13">
      <c r="B112" s="1005"/>
      <c r="C112" s="1007" t="s">
        <v>2580</v>
      </c>
      <c r="D112" s="586">
        <v>1</v>
      </c>
      <c r="E112" s="728" t="s">
        <v>2582</v>
      </c>
      <c r="F112" s="587">
        <v>2</v>
      </c>
      <c r="G112" s="587">
        <v>0</v>
      </c>
      <c r="H112" s="587">
        <v>0</v>
      </c>
      <c r="I112" s="587">
        <v>0.01</v>
      </c>
      <c r="J112" s="587">
        <v>0.16</v>
      </c>
      <c r="K112" s="587">
        <v>0.16</v>
      </c>
      <c r="L112" s="588">
        <v>0.02</v>
      </c>
      <c r="M112" s="610">
        <v>1</v>
      </c>
    </row>
    <row r="113" spans="2:13">
      <c r="B113" s="1005"/>
      <c r="C113" s="1008"/>
      <c r="D113" s="586">
        <v>2</v>
      </c>
      <c r="E113" s="728" t="s">
        <v>2575</v>
      </c>
      <c r="F113" s="587">
        <v>12</v>
      </c>
      <c r="G113" s="587">
        <v>0</v>
      </c>
      <c r="H113" s="587">
        <v>0.02</v>
      </c>
      <c r="I113" s="587">
        <v>7.0000000000000007E-2</v>
      </c>
      <c r="J113" s="587">
        <v>0.16</v>
      </c>
      <c r="K113" s="587">
        <v>0.36</v>
      </c>
      <c r="L113" s="588">
        <v>0.1</v>
      </c>
      <c r="M113" s="610">
        <v>1</v>
      </c>
    </row>
    <row r="114" spans="2:13">
      <c r="B114" s="1005"/>
      <c r="C114" s="1008"/>
      <c r="D114" s="586">
        <v>3</v>
      </c>
      <c r="E114" s="728" t="s">
        <v>2576</v>
      </c>
      <c r="F114" s="587">
        <v>2</v>
      </c>
      <c r="G114" s="587">
        <v>0</v>
      </c>
      <c r="H114" s="587">
        <v>-0.25</v>
      </c>
      <c r="I114" s="587">
        <v>7.0000000000000007E-2</v>
      </c>
      <c r="J114" s="587">
        <v>0.09</v>
      </c>
      <c r="K114" s="587">
        <v>0.18</v>
      </c>
      <c r="L114" s="588">
        <v>0.09</v>
      </c>
      <c r="M114" s="610">
        <v>3</v>
      </c>
    </row>
    <row r="115" spans="2:13">
      <c r="B115" s="1005"/>
      <c r="C115" s="1008"/>
      <c r="D115" s="586">
        <v>4</v>
      </c>
      <c r="E115" s="728" t="s">
        <v>2583</v>
      </c>
      <c r="F115" s="587">
        <v>0.6</v>
      </c>
      <c r="G115" s="587">
        <v>0</v>
      </c>
      <c r="H115" s="587">
        <v>0.105</v>
      </c>
      <c r="I115" s="587">
        <v>0.13500000000000001</v>
      </c>
      <c r="J115" s="587">
        <v>0.02</v>
      </c>
      <c r="K115" s="587">
        <v>0.05</v>
      </c>
      <c r="L115" s="588">
        <v>0.08</v>
      </c>
      <c r="M115" s="610">
        <v>5</v>
      </c>
    </row>
    <row r="116" spans="2:13">
      <c r="B116" s="1005"/>
      <c r="C116" s="1008"/>
      <c r="D116" s="586">
        <v>5</v>
      </c>
      <c r="E116" s="728" t="s">
        <v>2584</v>
      </c>
      <c r="F116" s="587">
        <v>0.6</v>
      </c>
      <c r="G116" s="587">
        <v>0</v>
      </c>
      <c r="H116" s="587">
        <v>-0.105</v>
      </c>
      <c r="I116" s="587">
        <v>0.13500000000000001</v>
      </c>
      <c r="J116" s="587">
        <v>0.02</v>
      </c>
      <c r="K116" s="587">
        <v>0.05</v>
      </c>
      <c r="L116" s="588">
        <v>0.08</v>
      </c>
      <c r="M116" s="610">
        <v>5</v>
      </c>
    </row>
    <row r="117" spans="2:13">
      <c r="B117" s="1005"/>
      <c r="C117" s="1008"/>
      <c r="D117" s="586">
        <v>6</v>
      </c>
      <c r="E117" s="728" t="s">
        <v>2586</v>
      </c>
      <c r="F117" s="587">
        <v>5.5</v>
      </c>
      <c r="G117" s="587">
        <v>0</v>
      </c>
      <c r="H117" s="587">
        <v>0.14000000000000001</v>
      </c>
      <c r="I117" s="587">
        <v>0.245</v>
      </c>
      <c r="J117" s="587">
        <v>0.1</v>
      </c>
      <c r="K117" s="587">
        <v>0.02</v>
      </c>
      <c r="L117" s="588">
        <v>0.3</v>
      </c>
      <c r="M117" s="610">
        <v>5</v>
      </c>
    </row>
    <row r="118" spans="2:13">
      <c r="B118" s="1005"/>
      <c r="C118" s="1008"/>
      <c r="D118" s="586">
        <v>7</v>
      </c>
      <c r="E118" s="728" t="s">
        <v>2587</v>
      </c>
      <c r="F118" s="587">
        <v>5.5</v>
      </c>
      <c r="G118" s="587">
        <v>0</v>
      </c>
      <c r="H118" s="587">
        <v>-0.14000000000000001</v>
      </c>
      <c r="I118" s="587">
        <v>0.245</v>
      </c>
      <c r="J118" s="587">
        <v>0.1</v>
      </c>
      <c r="K118" s="587">
        <v>0.02</v>
      </c>
      <c r="L118" s="588">
        <v>0.3</v>
      </c>
      <c r="M118" s="610">
        <v>5</v>
      </c>
    </row>
    <row r="119" spans="2:13">
      <c r="B119" s="1005"/>
      <c r="C119" s="1008"/>
      <c r="D119" s="586">
        <v>8</v>
      </c>
      <c r="E119" s="728" t="s">
        <v>2577</v>
      </c>
      <c r="F119" s="587">
        <v>3.1</v>
      </c>
      <c r="G119" s="587">
        <v>0</v>
      </c>
      <c r="H119" s="587">
        <v>0.12</v>
      </c>
      <c r="I119" s="587">
        <v>0.35</v>
      </c>
      <c r="J119" s="587">
        <v>0.25</v>
      </c>
      <c r="K119" s="587">
        <v>0.02</v>
      </c>
      <c r="L119" s="588">
        <v>0.08</v>
      </c>
      <c r="M119" s="610">
        <v>5</v>
      </c>
    </row>
    <row r="120" spans="2:13">
      <c r="B120" s="1005"/>
      <c r="C120" s="1008"/>
      <c r="D120" s="586">
        <v>9</v>
      </c>
      <c r="E120" s="728" t="s">
        <v>2578</v>
      </c>
      <c r="F120" s="587">
        <v>3.1</v>
      </c>
      <c r="G120" s="587">
        <v>0</v>
      </c>
      <c r="H120" s="587">
        <v>-0.12</v>
      </c>
      <c r="I120" s="587">
        <v>0.35</v>
      </c>
      <c r="J120" s="587">
        <v>0.25</v>
      </c>
      <c r="K120" s="587">
        <v>0.02</v>
      </c>
      <c r="L120" s="588">
        <v>0.08</v>
      </c>
      <c r="M120" s="610">
        <v>5</v>
      </c>
    </row>
    <row r="121" spans="2:13">
      <c r="B121" s="1005"/>
      <c r="C121" s="1008"/>
      <c r="D121" s="80">
        <v>10</v>
      </c>
      <c r="E121" s="729" t="s">
        <v>2579</v>
      </c>
      <c r="F121" s="589">
        <v>25</v>
      </c>
      <c r="G121" s="589">
        <v>0</v>
      </c>
      <c r="H121" s="589">
        <v>0</v>
      </c>
      <c r="I121" s="589">
        <v>0.35</v>
      </c>
      <c r="J121" s="589">
        <v>0.6</v>
      </c>
      <c r="K121" s="589">
        <v>0.22500000000000001</v>
      </c>
      <c r="L121" s="590">
        <v>0.2</v>
      </c>
      <c r="M121" s="610">
        <v>10</v>
      </c>
    </row>
    <row r="122" spans="2:13" ht="13.5" customHeight="1" thickBot="1">
      <c r="B122" s="1006"/>
      <c r="C122" s="1009"/>
      <c r="D122" s="591" t="str">
        <f>$D$14</f>
        <v>Total Load</v>
      </c>
      <c r="E122" s="730" t="s">
        <v>2581</v>
      </c>
      <c r="F122" s="592">
        <v>59.4</v>
      </c>
      <c r="G122" s="592">
        <v>0</v>
      </c>
      <c r="H122" s="592">
        <v>-4.377104377104377E-3</v>
      </c>
      <c r="I122" s="592">
        <v>0.24877104377104375</v>
      </c>
      <c r="J122" s="592">
        <v>1.7703826557239057</v>
      </c>
      <c r="K122" s="592">
        <v>1.9007669528619524</v>
      </c>
      <c r="L122" s="593">
        <v>1.5150457028619531</v>
      </c>
      <c r="M122" s="611"/>
    </row>
  </sheetData>
  <mergeCells count="20">
    <mergeCell ref="B3:B14"/>
    <mergeCell ref="C4:C14"/>
    <mergeCell ref="B15:B26"/>
    <mergeCell ref="C16:C26"/>
    <mergeCell ref="B63:B74"/>
    <mergeCell ref="C64:C74"/>
    <mergeCell ref="B27:B38"/>
    <mergeCell ref="C28:C38"/>
    <mergeCell ref="B39:B50"/>
    <mergeCell ref="C40:C50"/>
    <mergeCell ref="B51:B62"/>
    <mergeCell ref="C52:C62"/>
    <mergeCell ref="B111:B122"/>
    <mergeCell ref="C112:C122"/>
    <mergeCell ref="B75:B86"/>
    <mergeCell ref="C76:C86"/>
    <mergeCell ref="B87:B98"/>
    <mergeCell ref="C88:C98"/>
    <mergeCell ref="B99:B110"/>
    <mergeCell ref="C100:C110"/>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Development!Área_de_impresión</vt:lpstr>
      <vt:lpstr>'Diagram Data'!Área_de_impresión</vt:lpstr>
      <vt:lpstr>'Misc Data'!Área_de_impresión</vt:lpstr>
      <vt:lpstr>Summary!Área_de_impresión</vt:lpstr>
      <vt:lpstr>'Wrist Load Analysis'!Área_de_impresión</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Alex</cp:lastModifiedBy>
  <cp:lastPrinted>2016-12-07T00:09:28Z</cp:lastPrinted>
  <dcterms:created xsi:type="dcterms:W3CDTF">1999-12-01T08:04:04Z</dcterms:created>
  <dcterms:modified xsi:type="dcterms:W3CDTF">2016-12-07T00:09:50Z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-1589133600</vt:i4>
  </property>
  <property fmtid="{D5CDD505-2E9C-101B-9397-08002B2CF9AE}" pid="3" name="_EmailSubject">
    <vt:lpwstr>Payload Checker Project Modification</vt:lpwstr>
  </property>
  <property fmtid="{D5CDD505-2E9C-101B-9397-08002B2CF9AE}" pid="4" name="_AuthorEmail">
    <vt:lpwstr>RamsdenN@fanucrobotics.lu</vt:lpwstr>
  </property>
  <property fmtid="{D5CDD505-2E9C-101B-9397-08002B2CF9AE}" pid="5" name="_AuthorEmailDisplayName">
    <vt:lpwstr>Ramsden, Nigel</vt:lpwstr>
  </property>
  <property fmtid="{D5CDD505-2E9C-101B-9397-08002B2CF9AE}" pid="6" name="_PreviousAdHocReviewCycleID">
    <vt:i4>865461437</vt:i4>
  </property>
  <property fmtid="{D5CDD505-2E9C-101B-9397-08002B2CF9AE}" pid="7" name="_ReviewingToolsShownOnce">
    <vt:lpwstr/>
  </property>
</Properties>
</file>