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C27" i="38" s="1"/>
  <c r="C28" i="38" s="1"/>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K25" i="60" l="1"/>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I54" i="37"/>
  <c r="E73" i="39"/>
  <c r="G73" i="39"/>
  <c r="C26" i="39" s="1"/>
  <c r="D73" i="39"/>
  <c r="C65" i="39" s="1"/>
  <c r="F73" i="39"/>
  <c r="G52" i="37"/>
  <c r="G54" i="37"/>
  <c r="E30" i="38"/>
  <c r="G50" i="37"/>
  <c r="L50" i="37"/>
  <c r="I49" i="37"/>
  <c r="G74" i="39"/>
  <c r="C27" i="39" s="1"/>
  <c r="E74" i="39"/>
  <c r="D74" i="39"/>
  <c r="C66" i="39" s="1"/>
  <c r="F74" i="39"/>
  <c r="M32" i="38"/>
  <c r="L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M29" i="38" l="1"/>
  <c r="J29" i="38" s="1"/>
  <c r="L25" i="60"/>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s="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l="1"/>
  <c r="O69" i="37" s="1"/>
  <c r="Q69" i="37"/>
  <c r="P69" i="37"/>
  <c r="T69" i="37" l="1"/>
  <c r="Y69" i="37" s="1"/>
  <c r="V69" i="37"/>
  <c r="R69" i="37"/>
  <c r="W69" i="37"/>
  <c r="U69" i="37"/>
  <c r="S69" i="37"/>
  <c r="X69" i="37" s="1"/>
  <c r="AA69" i="37" l="1"/>
  <c r="Z69" i="37"/>
  <c r="AB69" i="37" l="1"/>
  <c r="O70" i="37" s="1"/>
  <c r="P70" i="37" s="1"/>
  <c r="N63" i="37" l="1"/>
  <c r="B89" i="37" s="1"/>
  <c r="E89" i="37" s="1"/>
  <c r="Q70" i="37"/>
  <c r="S70" i="37" s="1"/>
  <c r="X70" i="37" s="1"/>
  <c r="F89" i="37"/>
  <c r="C89" i="37"/>
  <c r="H89" i="37" s="1"/>
  <c r="D89" i="37"/>
  <c r="L89" i="37" s="1"/>
  <c r="K36" i="37"/>
  <c r="V70" i="37" l="1"/>
  <c r="U70" i="37"/>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<sst xmlns="http://schemas.openxmlformats.org/spreadsheetml/2006/main" count="6673" uniqueCount="4044">
  <si>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</si>
  <si>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</si>
  <si>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</si>
  <si>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</si>
  <si>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</si>
  <si>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</si>
  <si>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</si>
  <si>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</si>
  <si>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</si>
  <si>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</si>
  <si>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</si>
  <si>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</si>
  <si>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</si>
  <si>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</si>
  <si>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</si>
  <si>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</si>
  <si>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</si>
  <si>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</si>
  <si>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</si>
  <si>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</si>
  <si>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</si>
  <si>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</si>
  <si>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</si>
  <si>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</si>
  <si>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</si>
  <si>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</si>
  <si>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</si>
  <si>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</si>
  <si>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</si>
  <si>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</si>
  <si>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</si>
  <si>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</si>
  <si>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</si>
  <si>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</si>
  <si>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</si>
  <si>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</si>
  <si>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</si>
  <si>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</si>
  <si>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</si>
  <si>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</si>
  <si>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</si>
  <si>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</si>
  <si>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</si>
  <si>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</si>
  <si>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</si>
  <si>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</si>
  <si>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</si>
  <si>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</si>
  <si>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</si>
  <si>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</si>
  <si>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</si>
  <si>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</si>
  <si>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</si>
  <si>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</si>
  <si>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</si>
  <si>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</si>
  <si>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</si>
  <si>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</si>
  <si>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</si>
  <si>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</si>
  <si>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</si>
  <si>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</si>
  <si>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</si>
  <si>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</si>
  <si>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</si>
  <si>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</si>
  <si>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</si>
  <si>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</si>
  <si>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</si>
  <si>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</si>
  <si>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</si>
  <si>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</si>
  <si>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</si>
  <si>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</si>
  <si>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</si>
  <si>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</si>
  <si>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</si>
  <si>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</si>
  <si>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</si>
  <si>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</si>
  <si>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</si>
  <si>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</si>
  <si>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</si>
  <si>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</si>
  <si>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</si>
  <si>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</si>
  <si>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</si>
  <si>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</si>
  <si>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</si>
  <si>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</si>
  <si>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</si>
  <si>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</si>
  <si>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</si>
  <si>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</si>
  <si>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</si>
  <si>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</si>
  <si>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</si>
  <si>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</si>
  <si>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</si>
  <si>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</si>
  <si>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</si>
  <si>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</si>
  <si>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</si>
  <si>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</si>
  <si>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</si>
  <si>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</si>
  <si>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</si>
  <si>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</si>
  <si>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</si>
  <si>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</si>
  <si>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</si>
  <si>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</si>
  <si>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</si>
  <si>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</si>
  <si>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</si>
  <si>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</si>
  <si>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</si>
  <si>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</si>
  <si>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</si>
  <si>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</si>
  <si>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</si>
  <si>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</si>
  <si>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</si>
  <si>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</si>
  <si>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</si>
  <si>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</si>
  <si>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</si>
  <si>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</si>
  <si>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</si>
  <si>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</si>
  <si>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</si>
  <si>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</si>
  <si>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</si>
  <si>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</si>
  <si>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</si>
  <si>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</si>
  <si>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</si>
  <si>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</si>
  <si>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</si>
  <si>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</si>
  <si>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</si>
  <si>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</si>
  <si>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</si>
  <si>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</si>
  <si>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</si>
  <si>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</si>
  <si>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</si>
  <si>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</si>
  <si>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</si>
  <si>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</si>
  <si>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</si>
  <si>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</si>
  <si>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</si>
  <si>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</si>
  <si>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</si>
  <si>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</si>
  <si>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</si>
  <si>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</si>
  <si>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</si>
  <si>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</si>
  <si>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</si>
  <si>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</si>
  <si>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</si>
  <si>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</si>
  <si>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</si>
  <si>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</si>
  <si>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</si>
  <si>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</si>
  <si>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</si>
  <si>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</si>
  <si>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</si>
  <si>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</si>
  <si>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</si>
  <si>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</si>
  <si>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</si>
  <si>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</si>
  <si>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</si>
  <si>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</si>
  <si>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</si>
  <si>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</si>
  <si>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</si>
  <si>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</si>
  <si>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</si>
  <si>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</si>
  <si>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</si>
  <si>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</si>
  <si>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</si>
  <si>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</si>
  <si>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</si>
  <si>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</si>
  <si>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</si>
  <si>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</si>
  <si>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</si>
  <si>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</si>
  <si>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</si>
  <si>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</si>
  <si>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</si>
  <si>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</si>
  <si>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</si>
  <si>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</si>
  <si>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</si>
  <si>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</si>
  <si>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</si>
  <si>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</si>
  <si>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</si>
  <si>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</si>
  <si>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</si>
  <si>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</si>
  <si>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</si>
  <si>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</si>
  <si>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</si>
  <si>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</si>
  <si>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</si>
  <si>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</si>
  <si>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</si>
  <si>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</si>
  <si>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</si>
  <si>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</si>
  <si>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</si>
  <si>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</si>
  <si>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</si>
  <si>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</si>
  <si>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</si>
  <si>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</si>
  <si>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</si>
  <si>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</si>
  <si>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</si>
  <si>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</si>
  <si>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</si>
  <si>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</si>
  <si>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</si>
  <si>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</si>
  <si>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</si>
  <si>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</si>
  <si>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</si>
  <si>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</si>
  <si>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</si>
  <si>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</si>
  <si>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</si>
  <si>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</si>
  <si>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</si>
  <si>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</si>
  <si>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</si>
  <si>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</si>
  <si>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</si>
  <si>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</si>
  <si>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</si>
  <si>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</si>
  <si>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</si>
  <si>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</si>
  <si>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</si>
  <si>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</si>
  <si>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</si>
  <si>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</si>
  <si>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</si>
  <si>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</si>
  <si>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</si>
  <si>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</si>
  <si>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</si>
  <si>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</si>
  <si>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</si>
  <si>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</si>
  <si>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</si>
  <si>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</si>
  <si>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</si>
  <si>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</si>
  <si>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</si>
  <si>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</si>
  <si>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</si>
  <si>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</si>
  <si>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</si>
  <si>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</si>
  <si>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</si>
  <si>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</si>
  <si>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</si>
  <si>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</si>
  <si>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</si>
  <si>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</si>
  <si>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</si>
  <si>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</si>
  <si>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</si>
  <si>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</si>
  <si>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</si>
  <si>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</si>
  <si>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</si>
  <si>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</si>
  <si>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</si>
  <si>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</si>
  <si>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</si>
  <si>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</si>
  <si>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</si>
  <si>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</si>
  <si>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</si>
  <si>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</si>
  <si>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</si>
  <si>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</si>
  <si>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</si>
  <si>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</si>
  <si>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</si>
  <si>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</si>
  <si>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</si>
  <si>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</si>
  <si>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</si>
  <si>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</si>
  <si>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</si>
  <si>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</si>
  <si>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</si>
  <si>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</si>
  <si>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</si>
  <si>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</si>
  <si>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</si>
  <si>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</si>
  <si>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</si>
  <si>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</si>
  <si>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</si>
  <si>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</si>
  <si>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</si>
  <si>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</si>
  <si>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</si>
  <si>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</si>
  <si>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</si>
  <si>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</si>
  <si>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</si>
  <si>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</si>
  <si>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</si>
  <si>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</si>
  <si>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</si>
  <si>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</si>
  <si>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</si>
  <si>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</si>
  <si>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</si>
  <si>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</si>
  <si>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</si>
  <si>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</si>
  <si>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</si>
  <si>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</si>
  <si>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</si>
  <si>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</si>
  <si>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</si>
  <si>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</si>
  <si>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</si>
  <si>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</si>
  <si>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</si>
  <si>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</si>
  <si>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</si>
  <si>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</si>
  <si>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</si>
  <si>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</si>
  <si>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</si>
  <si>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</si>
  <si>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</si>
  <si>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</si>
  <si>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</si>
  <si>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</si>
  <si>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</si>
  <si>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</si>
  <si>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</si>
  <si>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</si>
  <si>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</si>
  <si>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</si>
  <si>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</si>
  <si>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</si>
  <si>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</si>
  <si>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</si>
  <si>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</si>
  <si>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</si>
  <si>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</si>
  <si>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</si>
  <si>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</si>
  <si>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</si>
  <si>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</si>
  <si>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</si>
  <si>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</si>
  <si>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</si>
  <si>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</si>
  <si>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</si>
  <si>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</si>
  <si>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</si>
  <si>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</si>
  <si>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</si>
  <si>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</si>
  <si>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</si>
  <si>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</si>
  <si>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</si>
  <si>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</si>
  <si>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</si>
  <si>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</si>
  <si>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</si>
  <si>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</si>
  <si>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</si>
  <si>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</si>
  <si>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</si>
  <si>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</si>
  <si>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</si>
  <si>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</si>
  <si>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</si>
  <si>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</si>
  <si>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</si>
  <si>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</si>
  <si>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</si>
  <si>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</si>
  <si>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</si>
  <si>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</si>
  <si>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</si>
  <si>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</si>
  <si>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</si>
  <si>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</si>
  <si>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</si>
  <si>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</si>
  <si>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</si>
  <si>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</si>
  <si>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</si>
  <si>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</si>
  <si>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</si>
  <si>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</si>
  <si>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</si>
  <si>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</si>
  <si>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</si>
  <si>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</si>
  <si>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</si>
  <si>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</si>
  <si>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</si>
  <si>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</si>
  <si>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</si>
  <si>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</si>
  <si>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</si>
  <si>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</si>
  <si>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</si>
  <si>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</si>
  <si>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</si>
  <si>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</si>
  <si>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</si>
  <si>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</si>
  <si>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</si>
  <si>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</si>
  <si>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</si>
  <si>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</si>
  <si>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</si>
  <si>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</si>
  <si>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</si>
  <si>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</si>
  <si>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</si>
  <si>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</si>
  <si>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</si>
  <si>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</si>
  <si>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</si>
  <si>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</si>
  <si>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</si>
  <si>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</si>
  <si>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</si>
  <si>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</si>
  <si>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</si>
  <si>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</si>
  <si>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</si>
  <si>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</si>
  <si>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</si>
  <si>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</si>
  <si>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</si>
  <si>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</si>
  <si>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</si>
  <si>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</si>
  <si>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</si>
  <si>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</si>
  <si>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</si>
  <si>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</si>
  <si>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</si>
  <si>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</si>
  <si>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</si>
  <si>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</si>
  <si>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</si>
  <si>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</si>
  <si>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</si>
  <si>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</si>
  <si>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</si>
  <si>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</si>
  <si>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</si>
  <si>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</si>
  <si>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</si>
  <si>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</si>
  <si>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</si>
  <si>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</si>
  <si>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</si>
  <si>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</si>
  <si>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</si>
  <si>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</si>
  <si>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</si>
  <si>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</si>
  <si>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</si>
  <si>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</si>
  <si>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</si>
  <si>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</si>
  <si>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</si>
  <si>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</si>
  <si>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</si>
  <si>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</si>
  <si>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</si>
  <si>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</si>
  <si>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</si>
  <si>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</si>
  <si>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</si>
  <si>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</si>
  <si>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</si>
  <si>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</si>
  <si>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</si>
  <si>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</si>
  <si>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</si>
  <si>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</si>
  <si>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</si>
  <si>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</si>
  <si>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</si>
  <si>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</si>
  <si>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</si>
  <si>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</si>
  <si>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</si>
  <si>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</si>
  <si>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</si>
  <si>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</si>
  <si>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</si>
  <si>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</si>
  <si>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</si>
  <si>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</si>
  <si>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</si>
  <si>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</si>
  <si>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</si>
  <si>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</si>
  <si>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</si>
  <si>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</si>
  <si>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</si>
  <si>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</si>
  <si>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</si>
  <si>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</si>
  <si>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</si>
  <si>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</si>
  <si>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</si>
  <si>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</si>
  <si>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</si>
  <si>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</si>
  <si>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</si>
  <si>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</si>
  <si>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</si>
  <si>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</si>
  <si>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</si>
  <si>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</si>
  <si>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</si>
  <si>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</si>
  <si>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</si>
  <si>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</si>
  <si>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</si>
  <si>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</si>
  <si>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</si>
  <si>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</si>
  <si>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</si>
  <si>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</si>
  <si>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</si>
  <si>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</si>
  <si>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</si>
  <si>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</si>
  <si>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</si>
  <si>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</si>
  <si>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</si>
  <si>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</si>
  <si>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</si>
  <si>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</si>
  <si>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</si>
  <si>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</si>
  <si>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</si>
  <si>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</si>
  <si>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</si>
  <si>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</si>
  <si>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</si>
  <si>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</si>
  <si>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</si>
  <si>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</si>
  <si>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</si>
  <si>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</si>
  <si>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</si>
  <si>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</si>
  <si>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</si>
  <si>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</si>
  <si>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</si>
  <si>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</si>
  <si>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</si>
  <si>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</si>
  <si>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</si>
  <si>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</si>
  <si>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</si>
  <si>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</si>
  <si>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</si>
  <si>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</si>
  <si>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</si>
  <si>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</si>
  <si>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</si>
  <si>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</si>
  <si>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</si>
  <si>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</si>
  <si>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</si>
  <si>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</si>
  <si>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</si>
  <si>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</si>
  <si>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</si>
  <si>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</si>
  <si>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</si>
  <si>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</si>
  <si>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</si>
  <si>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</si>
  <si>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</si>
  <si>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</si>
  <si>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</si>
  <si>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</si>
  <si>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</si>
  <si>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</si>
  <si>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</si>
  <si>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</si>
  <si>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</si>
  <si>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</si>
  <si>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</si>
  <si>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</si>
  <si>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</si>
  <si>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</si>
  <si>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</si>
  <si>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</si>
  <si>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</si>
  <si>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</si>
  <si>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</si>
  <si>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</si>
  <si>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</si>
  <si>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</si>
  <si>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</si>
  <si>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</si>
  <si>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</si>
  <si>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</si>
  <si>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</si>
  <si>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</si>
  <si>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</si>
  <si>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</si>
  <si>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</si>
  <si>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</si>
  <si>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</si>
  <si>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</si>
  <si>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</si>
  <si>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</si>
  <si>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</si>
  <si>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</si>
  <si>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</si>
  <si>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</si>
  <si>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</si>
  <si>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</si>
  <si>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</si>
  <si>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</si>
  <si>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</si>
  <si>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</si>
  <si>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</si>
  <si>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</si>
  <si>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</si>
  <si>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</si>
  <si>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</si>
  <si>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</si>
  <si>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</si>
  <si>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</si>
  <si>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</si>
  <si>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</si>
  <si>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</si>
  <si>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</si>
  <si>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</si>
  <si>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</si>
  <si>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</si>
  <si>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</si>
  <si>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</si>
  <si>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</si>
  <si>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</si>
  <si>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</si>
  <si>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</si>
  <si>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</si>
  <si>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</si>
  <si>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</si>
  <si>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</si>
  <si>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</si>
  <si>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</si>
  <si>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</si>
  <si>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</si>
  <si>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</si>
  <si>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</si>
  <si>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</si>
  <si>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</si>
  <si>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</si>
  <si>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</si>
  <si>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</si>
  <si>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</si>
  <si>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</si>
  <si>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</si>
  <si>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</si>
  <si>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</si>
  <si>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</si>
  <si>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</si>
  <si>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</si>
  <si>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</si>
  <si>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</si>
  <si>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</si>
  <si>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</si>
  <si>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</si>
  <si>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</si>
  <si>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</si>
  <si>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</si>
  <si>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</si>
  <si>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</si>
  <si>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</si>
  <si>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</si>
  <si>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</si>
  <si>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</si>
  <si>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</si>
  <si>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</si>
  <si>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</si>
  <si>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</si>
  <si>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</si>
  <si>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</si>
  <si>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</si>
  <si>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</si>
  <si>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</si>
  <si>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</si>
  <si>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</si>
  <si>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</si>
  <si>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</si>
  <si>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</si>
  <si>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</si>
  <si>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</si>
  <si>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</si>
  <si>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</si>
  <si>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</si>
  <si>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</si>
  <si>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</si>
  <si>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</si>
  <si>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</si>
  <si>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</si>
  <si>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</si>
  <si>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</si>
  <si>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</si>
  <si>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</si>
  <si>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</si>
  <si>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</si>
  <si>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</si>
  <si>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</si>
  <si>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</si>
  <si>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</si>
  <si>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</si>
  <si>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</si>
  <si>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</si>
  <si>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</si>
  <si>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</si>
  <si>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</si>
  <si>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</si>
  <si>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</si>
  <si>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</si>
  <si>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</si>
  <si>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</si>
  <si>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</si>
  <si>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</si>
  <si>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</si>
  <si>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</si>
  <si>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</si>
  <si>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</si>
  <si>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</si>
  <si>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</si>
  <si>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</si>
  <si>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</si>
  <si>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</si>
  <si>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</si>
  <si>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</si>
  <si>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</si>
  <si>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</si>
  <si>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</si>
  <si>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</si>
  <si>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</si>
  <si>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</si>
  <si>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</si>
  <si>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</si>
  <si>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</si>
  <si>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</si>
  <si>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</si>
  <si>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</si>
  <si>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</si>
  <si>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</si>
  <si>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</si>
  <si>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</si>
  <si>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</si>
  <si>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</si>
  <si>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</si>
  <si>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</si>
  <si>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</si>
  <si>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</si>
  <si>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</si>
  <si>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</si>
  <si>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</si>
  <si>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</si>
  <si>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</si>
  <si>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</si>
  <si>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</si>
  <si>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</si>
  <si>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</si>
  <si>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</si>
  <si>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</si>
  <si>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</si>
  <si>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</si>
  <si>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</si>
  <si>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</si>
  <si>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</si>
  <si>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</si>
  <si>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</si>
  <si>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</si>
  <si>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</si>
  <si>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</si>
  <si>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</si>
  <si>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</si>
  <si>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</si>
  <si>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</si>
  <si>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</si>
  <si>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</si>
  <si>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</si>
  <si>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</si>
  <si>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</si>
  <si>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</si>
  <si>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</si>
  <si>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</si>
  <si>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</si>
  <si>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</si>
  <si>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</si>
  <si>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</si>
  <si>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</si>
  <si>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</si>
  <si>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</si>
  <si>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</si>
  <si>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</si>
  <si>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</si>
  <si>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</si>
  <si>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</si>
  <si>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</si>
  <si>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</si>
  <si>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</si>
  <si>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</si>
  <si>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</si>
  <si>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</si>
  <si>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</si>
  <si>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</si>
  <si>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</si>
  <si>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</si>
  <si>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</si>
  <si>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</si>
  <si>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</si>
  <si>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</si>
  <si>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</si>
  <si>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</si>
  <si>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</si>
  <si>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</si>
  <si>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</si>
  <si>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</si>
  <si>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</si>
  <si>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</si>
  <si>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</si>
  <si>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</si>
  <si>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</si>
  <si>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</si>
  <si>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</si>
  <si>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</si>
  <si>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</si>
  <si>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</si>
  <si>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</si>
  <si>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</si>
  <si>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</si>
  <si>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</si>
  <si>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</si>
  <si>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</si>
  <si>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</si>
  <si>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</si>
  <si>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</si>
  <si>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</si>
  <si>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</si>
  <si>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</si>
  <si>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</si>
  <si>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</si>
  <si>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</si>
  <si>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</si>
  <si>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</si>
  <si>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</si>
  <si>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</si>
  <si>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</si>
  <si>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</si>
  <si>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</si>
  <si>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</si>
  <si>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</si>
  <si>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</si>
  <si>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</si>
  <si>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</si>
  <si>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</si>
  <si>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</si>
  <si>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</si>
  <si>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</si>
  <si>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</si>
  <si>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</si>
  <si>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</si>
  <si>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</si>
  <si>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</si>
  <si>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</si>
  <si>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</si>
  <si>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</si>
  <si>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</si>
  <si>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</si>
  <si>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</si>
  <si>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</si>
  <si>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</si>
  <si>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</si>
  <si>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</si>
  <si>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</si>
  <si>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</si>
  <si>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</si>
  <si>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</si>
  <si>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</si>
  <si>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</si>
  <si>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</si>
  <si>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</si>
  <si>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</si>
  <si>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</si>
  <si>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</si>
  <si>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</si>
  <si>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</si>
  <si>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</si>
  <si>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</si>
  <si>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</si>
  <si>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</si>
  <si>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</si>
  <si>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</si>
  <si>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</si>
  <si>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</si>
  <si>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</si>
  <si>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</si>
  <si>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</si>
  <si>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</si>
  <si>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</si>
  <si>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</si>
  <si>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</si>
  <si>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</si>
  <si>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</si>
  <si>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</si>
  <si>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</si>
  <si>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</si>
  <si>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</si>
  <si>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</si>
  <si>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</si>
  <si>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</si>
  <si>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</si>
  <si>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</si>
  <si>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</si>
  <si>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</si>
  <si>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</si>
  <si>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</si>
  <si>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</si>
  <si>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</si>
  <si>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</si>
  <si>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</si>
  <si>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</si>
  <si>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</si>
  <si>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</si>
  <si>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</si>
  <si>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</si>
  <si>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</si>
  <si>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</si>
  <si>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</si>
  <si>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</si>
  <si>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</si>
  <si>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</si>
  <si>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</si>
  <si>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</si>
  <si>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</si>
  <si>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</si>
  <si>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</si>
  <si>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</si>
  <si>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</si>
  <si>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</si>
  <si>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</si>
  <si>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</si>
  <si>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</si>
  <si>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</si>
  <si>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</si>
  <si>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</si>
  <si>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</si>
  <si>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</si>
  <si>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</si>
  <si>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</si>
  <si>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</si>
  <si>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</si>
  <si>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</si>
  <si>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</si>
  <si>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</si>
  <si>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</si>
  <si>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</si>
  <si>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</si>
  <si>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</si>
  <si>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</si>
  <si>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</si>
  <si>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</si>
  <si>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</si>
  <si>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</si>
  <si>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</si>
  <si>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</si>
  <si>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</si>
  <si>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</si>
  <si>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</si>
  <si>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</si>
  <si>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</si>
  <si>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</si>
  <si>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</si>
  <si>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</si>
  <si>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</si>
  <si>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</si>
  <si>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</si>
  <si>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</si>
  <si>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</si>
  <si>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</si>
  <si>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</si>
  <si>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</si>
  <si>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</si>
  <si>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</si>
  <si>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</si>
  <si>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</si>
  <si>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</si>
  <si>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</si>
  <si>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</si>
  <si>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</si>
  <si>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</si>
  <si>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</si>
  <si>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</si>
  <si>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</si>
  <si>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</si>
  <si>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</si>
  <si>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</si>
  <si>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</si>
  <si>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</si>
  <si>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</si>
  <si>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</si>
  <si>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</si>
  <si>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</si>
  <si>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</si>
  <si>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</si>
  <si>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</si>
  <si>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</si>
  <si>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</si>
  <si>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</si>
  <si>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</si>
  <si>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</si>
  <si>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</si>
  <si>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</si>
  <si>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</si>
  <si>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</si>
  <si>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</si>
  <si>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</si>
  <si>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</si>
  <si>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</si>
  <si>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</si>
  <si>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</si>
  <si>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</si>
  <si>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</si>
  <si>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</si>
  <si>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</si>
  <si>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</si>
  <si>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</si>
  <si>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</si>
  <si>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</si>
  <si>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</si>
  <si>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</si>
  <si>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</si>
  <si>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</si>
  <si>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</si>
  <si>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</si>
  <si>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</si>
  <si>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</si>
  <si>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</si>
  <si>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</si>
  <si>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</si>
  <si>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</si>
  <si>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</si>
  <si>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</si>
  <si>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</si>
  <si>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</si>
  <si>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</si>
  <si>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</si>
  <si>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</si>
  <si>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</si>
  <si>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</si>
  <si>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</si>
  <si>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</si>
  <si>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</si>
  <si>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</si>
  <si>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</si>
  <si>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</si>
  <si>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</si>
  <si>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</si>
  <si>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</si>
  <si>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</si>
  <si>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</si>
  <si>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</si>
  <si>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</si>
  <si>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</si>
  <si>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</si>
  <si>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</si>
  <si>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</si>
  <si>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</si>
  <si>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</si>
  <si>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</si>
  <si>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</si>
  <si>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</si>
  <si>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</si>
  <si>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</si>
  <si>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</si>
  <si>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</si>
  <si>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</si>
  <si>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</si>
  <si>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</si>
  <si>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</si>
  <si>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</si>
  <si>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</si>
  <si>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</si>
  <si>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</si>
  <si>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</si>
  <si>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</si>
  <si>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</si>
  <si>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</si>
  <si>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</si>
  <si>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</si>
  <si>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</si>
  <si>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</si>
  <si>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</si>
  <si>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</si>
  <si>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</si>
  <si>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</si>
  <si>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</si>
  <si>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</si>
  <si>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</si>
  <si>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</si>
  <si>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</si>
  <si>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</si>
  <si>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</si>
  <si>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</si>
  <si>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</si>
  <si>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</si>
  <si>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</si>
  <si>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</si>
  <si>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</si>
  <si>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</si>
  <si>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</si>
  <si>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</si>
  <si>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</si>
  <si>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</si>
  <si>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</si>
  <si>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</si>
  <si>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</si>
  <si>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</si>
  <si>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</si>
  <si>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</si>
  <si>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</si>
  <si>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</si>
  <si>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</si>
  <si>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</si>
  <si>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</si>
  <si>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</si>
  <si>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</si>
  <si>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</si>
  <si>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</si>
  <si>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</si>
  <si>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</si>
  <si>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</si>
  <si>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</si>
  <si>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</si>
  <si>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</si>
  <si>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</si>
  <si>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</si>
  <si>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</si>
  <si>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</si>
  <si>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</si>
  <si>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</si>
  <si>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</si>
  <si>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</si>
  <si>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</si>
  <si>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</si>
  <si>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</si>
  <si>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</si>
  <si>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</si>
  <si>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</si>
  <si>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</si>
  <si>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</si>
  <si>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</si>
  <si>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</si>
  <si>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</si>
  <si>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</si>
  <si>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</si>
  <si>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</si>
  <si>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</si>
  <si>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</si>
  <si>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</si>
  <si>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</si>
  <si>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</si>
  <si>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</si>
  <si>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</si>
  <si>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</si>
  <si>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</si>
  <si>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</si>
  <si>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</si>
  <si>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</si>
  <si>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</si>
  <si>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</si>
  <si>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</si>
  <si>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</si>
  <si>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</si>
  <si>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</si>
  <si>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</si>
  <si>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</si>
  <si>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</si>
  <si>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</si>
  <si>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</si>
  <si>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</si>
  <si>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</si>
  <si>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</si>
  <si>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</si>
  <si>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</si>
  <si>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</si>
  <si>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</si>
  <si>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</si>
  <si>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</si>
  <si>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</si>
  <si>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</si>
  <si>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</si>
  <si>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</si>
  <si>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</si>
  <si>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</si>
  <si>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</si>
  <si>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</si>
  <si>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</si>
  <si>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</si>
  <si>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</si>
  <si>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</si>
  <si>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</si>
  <si>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</si>
  <si>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</si>
  <si>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</si>
  <si>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</si>
  <si>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</si>
  <si>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</si>
  <si>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</si>
  <si>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</si>
  <si>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</si>
  <si>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</si>
  <si>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</si>
  <si>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</si>
  <si>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</si>
  <si>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</si>
  <si>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</si>
  <si>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</si>
  <si>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</si>
  <si>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</si>
  <si>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</si>
  <si>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</si>
  <si>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</si>
  <si>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</si>
  <si>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</si>
  <si>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</si>
  <si>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</si>
  <si>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</si>
  <si>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</si>
  <si>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</si>
  <si>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</si>
  <si>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</si>
  <si>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</si>
  <si>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</si>
  <si>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</si>
  <si>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</si>
  <si>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</si>
  <si>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</si>
  <si>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</si>
  <si>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</si>
  <si>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</si>
  <si>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</si>
  <si>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</si>
  <si>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</si>
  <si>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</si>
  <si>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</si>
  <si>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</si>
  <si>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</si>
  <si>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</si>
  <si>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</si>
  <si>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</si>
  <si>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</si>
  <si>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</si>
  <si>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</si>
  <si>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</si>
  <si>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</si>
  <si>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</si>
  <si>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</si>
  <si>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</si>
  <si>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</si>
  <si>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</si>
  <si>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</si>
  <si>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</si>
  <si>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</si>
  <si>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</si>
  <si>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</si>
  <si>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</si>
  <si>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</si>
  <si>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</si>
  <si>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</si>
  <si>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</si>
  <si>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</si>
  <si>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</si>
  <si>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</si>
  <si>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</si>
  <si>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</si>
  <si>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</si>
  <si>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</si>
  <si>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</si>
  <si>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</si>
  <si>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</si>
  <si>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</si>
  <si>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</si>
  <si>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</si>
  <si>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</si>
  <si>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</si>
  <si>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</si>
  <si>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</si>
  <si>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</si>
  <si>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</si>
  <si>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</si>
  <si>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</si>
  <si>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</si>
  <si>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</si>
  <si>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</si>
  <si>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</si>
  <si>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</si>
  <si>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</si>
  <si>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</si>
  <si>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</si>
  <si>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</si>
  <si>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</si>
  <si>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</si>
  <si>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</si>
  <si>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</si>
  <si>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</si>
  <si>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</si>
  <si>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</si>
  <si>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</si>
  <si>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</si>
  <si>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</si>
  <si>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</si>
  <si>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</si>
  <si>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</si>
  <si>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</si>
  <si>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</si>
  <si>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</si>
  <si>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</si>
  <si>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</si>
  <si>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</si>
  <si>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</si>
  <si>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</si>
  <si>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</si>
  <si>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</si>
  <si>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</si>
  <si>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</si>
  <si>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</si>
  <si>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</si>
  <si>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</si>
  <si>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</si>
  <si>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</si>
  <si>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</si>
  <si>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</si>
  <si>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</si>
  <si>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</si>
  <si>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</si>
  <si>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</si>
  <si>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</si>
  <si>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</si>
  <si>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</si>
  <si>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</si>
  <si>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</si>
  <si>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</si>
  <si>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</si>
  <si>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</si>
  <si>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</si>
  <si>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</si>
  <si>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</si>
  <si>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</si>
  <si>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</si>
  <si>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</si>
  <si>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</si>
  <si>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</si>
  <si>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</si>
  <si>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</si>
  <si>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</si>
  <si>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</si>
  <si>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</si>
  <si>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</si>
  <si>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</si>
  <si>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</si>
  <si>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</si>
  <si>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</si>
  <si>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</si>
  <si>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</si>
  <si>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</si>
  <si>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</si>
  <si>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</si>
  <si>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</si>
  <si>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</si>
  <si>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</si>
  <si>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</si>
  <si>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</si>
  <si>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</si>
  <si>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</si>
  <si>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</si>
  <si>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</si>
  <si>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</si>
  <si>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</si>
  <si>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</si>
  <si>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</si>
  <si>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</si>
  <si>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</si>
  <si>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</si>
  <si>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</si>
  <si>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</si>
  <si>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</si>
  <si>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</si>
  <si>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</si>
  <si>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</si>
  <si>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</si>
  <si>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</si>
  <si>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</si>
  <si>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</si>
  <si>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</si>
  <si>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</si>
  <si>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</si>
  <si>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</si>
  <si>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</si>
  <si>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</si>
  <si>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</si>
  <si>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</si>
  <si>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</si>
  <si>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</si>
  <si>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</si>
  <si>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</si>
  <si>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</si>
  <si>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</si>
  <si>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</si>
  <si>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</si>
  <si>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</si>
  <si>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</si>
  <si>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</si>
  <si>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</si>
  <si>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</si>
  <si>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</si>
  <si>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</si>
  <si>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</si>
  <si>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</si>
  <si>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</si>
  <si>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</si>
  <si>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</si>
  <si>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</si>
  <si>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</si>
  <si>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</si>
  <si>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</si>
  <si>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</si>
  <si>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</si>
  <si>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</si>
  <si>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</si>
  <si>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</si>
  <si>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</si>
  <si>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</si>
  <si>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</si>
  <si>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</si>
  <si>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</si>
  <si>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</si>
  <si>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</si>
  <si>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</si>
  <si>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</si>
  <si>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</si>
  <si>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</si>
  <si>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</si>
  <si>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</si>
  <si>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</si>
  <si>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</si>
  <si>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</si>
  <si>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</si>
  <si>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</si>
  <si>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</si>
  <si>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</si>
  <si>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</si>
  <si>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</si>
  <si>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</si>
  <si>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</si>
  <si>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</si>
  <si>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</si>
  <si>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</si>
  <si>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</si>
  <si>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</si>
  <si>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</si>
  <si>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</si>
  <si>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</si>
  <si>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</si>
  <si>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</si>
  <si>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</si>
  <si>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</si>
  <si>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</si>
  <si>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</si>
  <si>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</si>
  <si>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</si>
  <si>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</si>
  <si>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</si>
  <si>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</si>
  <si>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</si>
  <si>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</si>
  <si>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</si>
  <si>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</si>
  <si>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</si>
  <si>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</si>
  <si>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</si>
  <si>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</si>
  <si>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</si>
  <si>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</si>
  <si>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</si>
  <si>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</si>
  <si>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</si>
  <si>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</si>
  <si>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</si>
  <si>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</si>
  <si>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</si>
  <si>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</si>
  <si>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</si>
  <si>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</si>
  <si>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</si>
  <si>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</si>
  <si>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</si>
  <si>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</si>
  <si>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</si>
  <si>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</si>
  <si>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</si>
  <si>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</si>
  <si>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</si>
  <si>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</si>
  <si>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</si>
  <si>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</si>
  <si>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</si>
  <si>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</si>
  <si>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</si>
  <si>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</si>
  <si>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</si>
  <si>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</si>
  <si>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</si>
  <si>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</si>
  <si>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</si>
  <si>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</si>
  <si>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</si>
  <si>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</si>
  <si>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</si>
  <si>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</si>
  <si>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</si>
  <si>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</si>
  <si>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</si>
  <si>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</si>
  <si>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</si>
  <si>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</si>
  <si>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</si>
  <si>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</si>
  <si>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</si>
  <si>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</si>
  <si>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</si>
  <si>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</si>
  <si>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</si>
  <si>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</si>
  <si>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</si>
  <si>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</si>
  <si>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</si>
  <si>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</si>
  <si>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</si>
  <si>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</si>
  <si>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</si>
  <si>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</si>
  <si>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</si>
  <si>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</si>
  <si>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</si>
  <si>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</si>
  <si>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</si>
  <si>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</si>
  <si>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</si>
  <si>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</si>
  <si>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</si>
  <si>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</si>
  <si>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</si>
  <si>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</si>
  <si>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</si>
  <si>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</si>
  <si>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</si>
  <si>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</si>
  <si>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</si>
  <si>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</si>
  <si>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</si>
  <si>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</si>
  <si>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</si>
  <si>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</si>
  <si>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</si>
  <si>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</si>
  <si>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</si>
  <si>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</si>
  <si>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</si>
  <si>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</si>
  <si>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</si>
  <si>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</si>
  <si>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</si>
  <si>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</si>
  <si>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</si>
  <si>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</si>
  <si>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</si>
  <si>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</si>
  <si>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</si>
  <si>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</si>
  <si>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</si>
  <si>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</si>
  <si>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</si>
  <si>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</si>
  <si>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</si>
  <si>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</si>
  <si>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</si>
  <si>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</si>
  <si>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</si>
  <si>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</si>
  <si>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</si>
  <si>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</si>
  <si>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</si>
  <si>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</si>
  <si>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</si>
  <si>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</si>
  <si>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</si>
  <si>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</si>
  <si>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</si>
  <si>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</si>
  <si>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</si>
  <si>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</si>
  <si>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</si>
  <si>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</si>
  <si>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</si>
  <si>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</si>
  <si>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</si>
  <si>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</si>
  <si>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</si>
  <si>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</si>
  <si>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</si>
  <si>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</si>
  <si>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</si>
  <si>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</si>
  <si>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</si>
  <si>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</si>
  <si>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</si>
  <si>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</si>
  <si>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</si>
  <si>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</si>
  <si>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</si>
  <si>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</si>
  <si>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</si>
  <si>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</si>
  <si>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</si>
  <si>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</si>
  <si>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</si>
  <si>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</si>
  <si>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</si>
  <si>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</si>
  <si>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</si>
  <si>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</si>
  <si>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</si>
  <si>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</si>
  <si>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</si>
  <si>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</si>
  <si>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</si>
  <si>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</si>
  <si>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</si>
  <si>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</si>
  <si>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</si>
  <si>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</si>
  <si>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</si>
  <si>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</si>
  <si>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</si>
  <si>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</si>
  <si>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</si>
  <si>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</si>
  <si>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</si>
  <si>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</si>
  <si>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</si>
  <si>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</si>
  <si>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</si>
  <si>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</si>
  <si>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</si>
  <si>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</si>
  <si>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</si>
  <si>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</si>
  <si>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</si>
  <si>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</si>
  <si>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</si>
  <si>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</si>
  <si>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</si>
  <si>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</si>
  <si>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</si>
  <si>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</si>
  <si>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</si>
  <si>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</si>
  <si>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</si>
  <si>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</si>
  <si>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</si>
  <si>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</si>
  <si>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</si>
  <si>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</si>
  <si>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</si>
  <si>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</si>
  <si>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</si>
  <si>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</si>
  <si>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</si>
  <si>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</si>
  <si>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</si>
  <si>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</si>
  <si>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</si>
  <si>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</si>
  <si>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</si>
  <si>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</si>
  <si>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</si>
  <si>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</si>
  <si>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</si>
  <si>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</si>
  <si>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</si>
  <si>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</si>
  <si>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</si>
  <si>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</si>
  <si>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</si>
  <si>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</si>
  <si>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</si>
  <si>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</si>
  <si>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</si>
  <si>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</si>
  <si>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</si>
  <si>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</si>
  <si>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</si>
  <si>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</si>
  <si>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</si>
  <si>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</si>
  <si>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</si>
  <si>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</si>
  <si>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</si>
  <si>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</si>
  <si>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</si>
  <si>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</si>
  <si>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</si>
  <si>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</si>
  <si>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</si>
  <si>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</si>
  <si>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</si>
  <si>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</si>
  <si>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</si>
  <si>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</si>
  <si>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</si>
  <si>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</si>
  <si>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</si>
  <si>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</si>
  <si>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</si>
  <si>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</si>
  <si>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</si>
  <si>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</si>
  <si>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</si>
  <si>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</si>
  <si>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</si>
  <si>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</si>
  <si>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</si>
  <si>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</si>
  <si>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</si>
  <si>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</si>
  <si>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</si>
  <si>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</si>
  <si>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</si>
  <si>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</si>
  <si>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</si>
  <si>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</si>
  <si>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</si>
  <si>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</si>
  <si>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</si>
  <si>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</si>
  <si>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</si>
  <si>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</si>
  <si>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</si>
  <si>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</si>
  <si>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</si>
  <si>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</si>
  <si>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</si>
  <si>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</si>
  <si>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</si>
  <si>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</si>
  <si>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</si>
  <si>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</si>
  <si>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</si>
  <si>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</si>
  <si>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</si>
  <si>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</si>
  <si>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</si>
  <si>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</si>
  <si>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</si>
  <si>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</si>
  <si>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</si>
  <si>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</si>
  <si>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</si>
  <si>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</si>
  <si>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</si>
  <si>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</si>
  <si>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</si>
  <si>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</si>
  <si>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</si>
  <si>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</si>
  <si>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</si>
  <si>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</si>
  <si>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</si>
  <si>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</si>
  <si>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</si>
  <si>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</si>
  <si>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</si>
  <si>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</si>
  <si>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</si>
  <si>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</si>
  <si>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</si>
  <si>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</si>
  <si>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</si>
  <si>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</si>
  <si>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</si>
  <si>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</si>
  <si>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</si>
  <si>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</si>
  <si>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</si>
  <si>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</si>
  <si>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</si>
  <si>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</si>
  <si>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</si>
  <si>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</si>
  <si>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</si>
  <si>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</si>
  <si>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</si>
  <si>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</si>
  <si>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</si>
  <si>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</si>
  <si>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</si>
  <si>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</si>
  <si>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</si>
  <si>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</si>
  <si>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</si>
  <si>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</si>
  <si>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</si>
  <si>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</si>
  <si>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</si>
  <si>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</si>
  <si>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</si>
  <si>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</si>
  <si>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</si>
  <si>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</si>
  <si>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</si>
  <si>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</si>
  <si>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</si>
  <si>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</si>
  <si>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</si>
  <si>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</si>
  <si>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</si>
  <si>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</si>
  <si>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</si>
  <si>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</si>
  <si>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</si>
  <si>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</si>
  <si>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</si>
  <si>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</si>
  <si>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</si>
  <si>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</si>
  <si>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</si>
  <si>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</si>
  <si>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</si>
  <si>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</si>
  <si>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</si>
  <si>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</si>
  <si>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</si>
  <si>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</si>
  <si>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</si>
  <si>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</si>
  <si>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</si>
  <si>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</si>
  <si>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</si>
  <si>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</si>
  <si>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</si>
  <si>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</si>
  <si>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</si>
  <si>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</si>
  <si>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</si>
  <si>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</si>
  <si>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</si>
  <si>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</si>
  <si>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</si>
  <si>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</si>
  <si>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</si>
  <si>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</si>
  <si>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</si>
  <si>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</si>
  <si>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</si>
  <si>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</si>
  <si>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</si>
  <si>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</si>
  <si>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</si>
  <si>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</si>
  <si>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</si>
  <si>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</si>
  <si>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</si>
  <si>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</si>
  <si>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</si>
  <si>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</si>
  <si>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</si>
  <si>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</si>
  <si>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</si>
  <si>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</si>
  <si>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</si>
  <si>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</si>
  <si>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</si>
  <si>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</si>
  <si>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</si>
  <si>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</si>
  <si>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</si>
  <si>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</si>
  <si>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</si>
  <si>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</si>
  <si>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</si>
  <si>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</si>
  <si>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</si>
  <si>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</si>
  <si>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</si>
  <si>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</si>
  <si>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</si>
  <si>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</si>
  <si>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</si>
  <si>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</si>
  <si>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</si>
  <si>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</si>
  <si>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</si>
  <si>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</si>
  <si>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</si>
  <si>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</si>
  <si>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</si>
  <si>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</si>
  <si>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</si>
  <si>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</si>
  <si>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</si>
  <si>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</si>
  <si>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</si>
  <si>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</si>
  <si>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</si>
  <si>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</si>
  <si>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</si>
  <si>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</si>
  <si>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</si>
  <si>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</si>
  <si>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</si>
  <si>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</si>
  <si>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</si>
  <si>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</si>
  <si>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</si>
  <si>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</si>
  <si>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</si>
  <si>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</si>
  <si>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</si>
  <si>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</si>
  <si>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</si>
  <si>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</si>
  <si>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</si>
  <si>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</si>
  <si>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</si>
  <si>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</si>
  <si>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</si>
  <si>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</si>
  <si>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</si>
  <si>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</si>
  <si>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</si>
  <si>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</si>
  <si>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</si>
  <si>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</si>
  <si>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</si>
  <si>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</si>
  <si>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</si>
  <si>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</si>
  <si>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</si>
  <si>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</si>
  <si>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</si>
  <si>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</si>
  <si>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</si>
  <si>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</si>
  <si>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</si>
  <si>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</si>
  <si>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</si>
  <si>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</si>
  <si>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</si>
  <si>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</si>
  <si>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</si>
  <si>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</si>
  <si>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</si>
  <si>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</si>
  <si>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</si>
  <si>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</si>
  <si>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</si>
  <si>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</si>
  <si>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</si>
  <si>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</si>
  <si>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</si>
  <si>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</si>
  <si>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</si>
  <si>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</si>
  <si>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</si>
  <si>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</si>
  <si>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</si>
  <si>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</si>
  <si>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</si>
  <si>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</si>
  <si>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</si>
  <si>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</si>
  <si>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</si>
  <si>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</si>
  <si>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</si>
  <si>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</si>
  <si>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</si>
  <si>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</si>
  <si>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</si>
  <si>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</si>
  <si>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</si>
  <si>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</si>
  <si>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</si>
  <si>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</si>
  <si>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</si>
  <si>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</si>
  <si>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</si>
  <si>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</si>
  <si>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</si>
  <si>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</si>
  <si>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</si>
  <si>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</si>
  <si>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</si>
  <si>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</si>
  <si>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</si>
  <si>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</si>
  <si>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</si>
  <si>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</si>
  <si>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</si>
  <si>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</si>
  <si>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</si>
  <si>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</si>
  <si>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</si>
  <si>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</si>
  <si>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</si>
  <si>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</si>
  <si>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</si>
  <si>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</si>
  <si>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</si>
  <si>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</si>
  <si>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</si>
  <si>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</si>
  <si>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</si>
  <si>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</si>
  <si>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</si>
  <si>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</si>
  <si>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</si>
  <si>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</si>
  <si>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</si>
  <si>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</si>
  <si>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</si>
  <si>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</si>
  <si>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</si>
  <si>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</si>
  <si>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</si>
  <si>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</si>
  <si>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</si>
  <si>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</si>
  <si>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</si>
  <si>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</si>
  <si>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</si>
  <si>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</si>
  <si>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</si>
  <si>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</si>
  <si>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</si>
  <si>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</si>
  <si>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</si>
  <si>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</si>
  <si>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</si>
  <si>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</si>
  <si>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</si>
  <si>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</si>
  <si>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</si>
  <si>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</si>
  <si>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</si>
  <si>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</si>
  <si>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</si>
  <si>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</si>
  <si>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</si>
  <si>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</si>
  <si>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</si>
  <si>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</si>
  <si>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</si>
  <si>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</si>
  <si>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</si>
  <si>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</si>
  <si>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</si>
  <si>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</si>
  <si>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</si>
  <si>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</si>
  <si>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</si>
  <si>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</si>
  <si>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</si>
  <si>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</si>
  <si>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</si>
  <si>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</si>
  <si>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</si>
  <si>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</si>
  <si>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</si>
  <si>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</si>
  <si>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</si>
  <si>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</si>
  <si>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</si>
  <si>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</si>
  <si>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</si>
  <si>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</si>
  <si>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</si>
  <si>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</si>
  <si>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</si>
  <si>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</si>
  <si>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</si>
  <si>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</si>
  <si>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</si>
  <si>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</si>
  <si>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</si>
  <si>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</si>
  <si>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</si>
  <si>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</si>
  <si>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</si>
  <si>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</si>
  <si>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</si>
  <si>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</si>
  <si>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</si>
  <si>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</si>
  <si>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</si>
  <si>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</si>
  <si>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</si>
  <si>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</si>
  <si>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</si>
  <si>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</si>
  <si>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</si>
  <si>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</si>
  <si>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</si>
  <si>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</si>
  <si>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</si>
  <si>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</si>
  <si>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</si>
  <si>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</si>
  <si>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</si>
  <si>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</si>
  <si>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</si>
  <si>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</si>
  <si>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</si>
  <si>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</si>
  <si>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</si>
  <si>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</si>
  <si>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</si>
  <si>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</si>
  <si>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</si>
  <si>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</si>
  <si>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</si>
  <si>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</si>
  <si>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</si>
  <si>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</si>
  <si>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</si>
  <si>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</si>
  <si>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</si>
  <si>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</si>
  <si>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</si>
  <si>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</si>
  <si>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</si>
  <si>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</si>
  <si>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</si>
  <si>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</si>
  <si>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</si>
  <si>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</si>
  <si>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</si>
  <si>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</si>
  <si>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</si>
  <si>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</si>
  <si>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</si>
  <si>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</si>
  <si>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</si>
  <si>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</si>
  <si>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</si>
  <si>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</si>
  <si>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</si>
  <si>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</si>
  <si>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</si>
  <si>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</si>
  <si>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</si>
  <si>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</si>
  <si>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</si>
  <si>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</si>
  <si>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</si>
  <si>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</si>
  <si>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</si>
  <si>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</si>
  <si>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</si>
  <si>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</si>
  <si>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</si>
  <si>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</si>
  <si>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</si>
  <si>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</si>
  <si>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</si>
  <si>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</si>
  <si>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</si>
  <si>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</si>
  <si>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</si>
  <si>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</si>
  <si>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</si>
  <si>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</si>
  <si>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</si>
  <si>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</si>
  <si>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</si>
  <si>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</si>
  <si>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</si>
  <si>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</si>
  <si>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</si>
  <si>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</si>
  <si>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</si>
  <si>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</si>
  <si>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</si>
  <si>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</si>
  <si>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</si>
  <si>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</si>
  <si>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</si>
  <si>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</si>
  <si>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</si>
  <si>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</si>
  <si>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</si>
  <si>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</si>
  <si>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</si>
  <si>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</si>
  <si>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</si>
  <si>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</si>
  <si>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</si>
  <si>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</si>
  <si>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</si>
  <si>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</si>
  <si>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</si>
  <si>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</si>
  <si>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</si>
  <si>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</si>
  <si>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</si>
  <si>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</si>
  <si>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</si>
  <si>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</si>
  <si>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</si>
  <si>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</si>
  <si>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</si>
  <si>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</si>
  <si>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</si>
  <si>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</si>
  <si>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</si>
  <si>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</si>
  <si>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</si>
  <si>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</si>
  <si>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</si>
  <si>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</si>
  <si>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</si>
  <si>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</si>
  <si>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</si>
  <si>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</si>
  <si>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</si>
  <si>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</si>
  <si>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</si>
  <si>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</si>
  <si>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</si>
  <si>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</si>
  <si>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</si>
  <si>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</si>
  <si>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</si>
  <si>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</si>
  <si>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</si>
  <si>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</si>
  <si>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</si>
  <si>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</si>
  <si>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</si>
  <si>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</si>
  <si>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</si>
  <si>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</si>
  <si>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</si>
  <si>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</si>
  <si>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</si>
  <si>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</si>
  <si>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</si>
  <si>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</si>
  <si>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</si>
  <si>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</si>
  <si>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</si>
  <si>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</si>
  <si>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</si>
  <si>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</si>
  <si>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</si>
  <si>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</si>
  <si>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</si>
  <si>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</si>
  <si>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</si>
  <si>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</si>
  <si>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</si>
  <si>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</si>
  <si>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</si>
  <si>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</si>
  <si>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</si>
  <si>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</si>
  <si>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</si>
  <si>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</si>
  <si>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</si>
  <si>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</si>
  <si>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</si>
  <si>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</si>
  <si>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</si>
  <si>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</si>
  <si>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</si>
  <si>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</si>
  <si>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</si>
  <si>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</si>
  <si>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</si>
  <si>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</si>
  <si>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</si>
  <si>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</si>
  <si>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</si>
  <si>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</si>
  <si>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</si>
  <si>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</si>
  <si>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</si>
  <si>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</si>
  <si>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</si>
  <si>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</si>
  <si>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</si>
  <si>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</si>
  <si>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</si>
  <si>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</si>
  <si>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</si>
  <si>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</si>
  <si>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</si>
  <si>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</si>
  <si>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</si>
  <si>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</si>
  <si>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</si>
  <si>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</si>
  <si>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</si>
  <si>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</si>
  <si>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</si>
  <si>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</si>
  <si>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</si>
  <si>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</si>
  <si>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</si>
  <si>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</si>
  <si>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</si>
  <si>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</si>
  <si>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</si>
  <si>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</si>
  <si>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</si>
  <si>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</si>
  <si>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</si>
  <si>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</si>
  <si>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</si>
  <si>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</si>
  <si>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</si>
  <si>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</si>
  <si>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</si>
  <si>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</si>
  <si>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</si>
  <si>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</si>
  <si>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</si>
  <si>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</si>
  <si>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</si>
  <si>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</si>
  <si>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</si>
  <si>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</si>
  <si>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</si>
  <si>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</si>
  <si>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</si>
  <si>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</si>
  <si>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</si>
  <si>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</si>
  <si>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</si>
  <si>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</si>
  <si>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</si>
  <si>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</si>
  <si>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</si>
  <si>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</si>
  <si>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</si>
  <si>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</si>
  <si>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</si>
  <si>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</si>
  <si>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</si>
  <si>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</si>
  <si>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</si>
  <si>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</si>
  <si>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</si>
  <si>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</si>
  <si>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</si>
  <si>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</si>
  <si>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</si>
  <si>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</si>
  <si>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</si>
  <si>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</si>
  <si>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</si>
  <si>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</si>
  <si>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</si>
  <si>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</si>
  <si>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</si>
  <si>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</si>
  <si>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</si>
  <si>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</si>
  <si>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</si>
  <si>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</si>
  <si>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</si>
  <si>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</si>
  <si>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</si>
  <si>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</si>
  <si>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</si>
  <si>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</si>
  <si>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</si>
  <si>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</si>
  <si>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</si>
  <si>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</si>
  <si>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</si>
  <si>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</si>
  <si>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</si>
  <si>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</si>
  <si>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</si>
  <si>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</si>
  <si>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</si>
  <si>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</si>
  <si>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</si>
  <si>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</si>
  <si>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</si>
  <si>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</si>
  <si>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</si>
  <si>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</si>
  <si>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</si>
  <si>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</si>
  <si>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</si>
  <si>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</si>
  <si>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</si>
  <si>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</si>
  <si>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</si>
  <si>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</si>
  <si>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</si>
  <si>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</si>
  <si>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</si>
  <si>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</si>
  <si>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</si>
  <si>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</si>
  <si>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</si>
  <si>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</si>
  <si>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</si>
  <si>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</si>
  <si>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</si>
  <si>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</si>
  <si>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</si>
  <si>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</si>
  <si>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</si>
  <si>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</si>
  <si>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</si>
  <si>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</si>
  <si>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</si>
  <si>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</si>
  <si>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</si>
  <si>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</si>
  <si>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</si>
  <si>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</si>
  <si>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</si>
  <si>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</si>
  <si>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</si>
  <si>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</si>
  <si>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</si>
  <si>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</si>
  <si>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</si>
  <si>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</si>
  <si>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</si>
  <si>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</si>
  <si>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</si>
  <si>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</si>
  <si>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</si>
  <si>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</si>
  <si>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</si>
  <si>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</si>
  <si>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</si>
  <si>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</si>
  <si>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</si>
  <si>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</si>
  <si>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</si>
  <si>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</si>
  <si>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</si>
  <si>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</si>
  <si>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</si>
  <si>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</si>
  <si>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</si>
  <si>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</si>
  <si>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</si>
  <si>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</si>
  <si>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</si>
  <si>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</si>
  <si>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</si>
  <si>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</si>
  <si>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</si>
  <si>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</si>
  <si>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</si>
  <si>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</si>
  <si>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</si>
  <si>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</si>
  <si>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</si>
  <si>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</si>
  <si>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</si>
  <si>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</si>
  <si>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</si>
  <si>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</si>
  <si>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</si>
  <si>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</si>
  <si>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</si>
  <si>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</si>
  <si>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</si>
  <si>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</si>
  <si>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</si>
  <si>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</si>
  <si>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</si>
  <si>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</si>
  <si>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</si>
  <si>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</si>
  <si>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</si>
  <si>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</si>
  <si>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</si>
  <si>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</si>
  <si>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</si>
  <si>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</si>
  <si>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</si>
  <si>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</si>
  <si>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</si>
  <si>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</si>
  <si>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</si>
  <si>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</si>
  <si>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</si>
  <si>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</si>
  <si>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</si>
  <si>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</si>
  <si>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</si>
  <si>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</si>
  <si>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</si>
  <si>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</si>
  <si>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</si>
  <si>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</si>
  <si>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</si>
  <si>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</si>
  <si>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</si>
  <si>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</si>
  <si>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</si>
  <si>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</si>
  <si>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</si>
  <si>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</si>
  <si>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</si>
  <si>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</si>
  <si>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</si>
  <si>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</si>
  <si>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</si>
  <si>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</si>
  <si>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</si>
  <si>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</si>
  <si>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</si>
  <si>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</si>
  <si>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</si>
  <si>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</si>
  <si>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</si>
  <si>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</si>
  <si>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</si>
  <si>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</si>
  <si>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</si>
  <si>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</si>
  <si>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</si>
  <si>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</si>
  <si>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</si>
  <si>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</si>
  <si>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</si>
  <si>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</si>
  <si>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</si>
  <si>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</si>
  <si>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</si>
  <si>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</si>
  <si>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</si>
  <si>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</si>
  <si>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</si>
  <si>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</si>
  <si>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</si>
  <si>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</si>
  <si>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</si>
  <si>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</si>
  <si>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</si>
  <si>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</si>
  <si>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</si>
  <si>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</si>
  <si>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</si>
  <si>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</si>
  <si>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</si>
  <si>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</si>
  <si>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</si>
  <si>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</si>
  <si>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</si>
  <si>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</si>
  <si>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</si>
  <si>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</si>
  <si>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</si>
  <si>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</si>
  <si>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</si>
  <si>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</si>
  <si>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</si>
  <si>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</si>
  <si>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</si>
  <si>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</si>
  <si>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</si>
  <si>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</si>
  <si>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</si>
  <si>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</si>
  <si>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</si>
  <si>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</si>
  <si>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</si>
  <si>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</si>
  <si>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</si>
  <si>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</si>
  <si>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</si>
  <si>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</si>
  <si>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</si>
  <si>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</si>
  <si>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</si>
  <si>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</si>
  <si>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</si>
  <si>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</si>
  <si>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</si>
  <si>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</si>
  <si>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</si>
  <si>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</si>
  <si>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</si>
  <si>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</si>
  <si>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</si>
  <si>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</si>
  <si>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</si>
  <si>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</si>
  <si>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</si>
  <si>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</si>
  <si>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</si>
  <si>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</si>
  <si>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</si>
  <si>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</si>
  <si>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</si>
  <si>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</si>
  <si>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</si>
  <si>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</si>
  <si>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</si>
  <si>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</si>
  <si>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</si>
  <si>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</si>
  <si>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</si>
  <si>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</si>
  <si>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</si>
  <si>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</si>
  <si>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</si>
  <si>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</si>
  <si>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</si>
  <si>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</si>
  <si>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</si>
  <si>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</si>
  <si>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</si>
  <si>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</si>
  <si>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</si>
  <si>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</si>
  <si>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</si>
  <si>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</si>
  <si>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</si>
  <si>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</si>
  <si>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</si>
  <si>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</si>
  <si>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</si>
  <si>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</si>
  <si>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</si>
  <si>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</si>
  <si>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</si>
  <si>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</si>
  <si>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</si>
  <si>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</si>
  <si>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</si>
  <si>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</si>
  <si>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</si>
  <si>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</si>
  <si>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</si>
  <si>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</si>
  <si>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</si>
  <si>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</si>
  <si>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</si>
  <si>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</si>
  <si>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</si>
  <si>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</si>
  <si>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</si>
  <si>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</si>
  <si>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</si>
  <si>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</si>
  <si>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</si>
  <si>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</si>
  <si>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</si>
  <si>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</si>
  <si>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</si>
  <si>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</si>
  <si>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</si>
  <si>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</si>
  <si>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</si>
  <si>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</si>
  <si>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</si>
  <si>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</si>
  <si>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</si>
  <si>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</si>
  <si>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</si>
  <si>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</si>
  <si>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</si>
  <si>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</si>
  <si>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</si>
  <si>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</si>
  <si>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</si>
  <si>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</si>
  <si>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</si>
  <si>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</si>
  <si>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</si>
  <si>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</si>
  <si>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</si>
  <si>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</si>
  <si>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</si>
  <si>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</si>
  <si>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</si>
  <si>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</si>
  <si>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</si>
  <si>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</si>
  <si>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</si>
  <si>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</si>
  <si>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</si>
  <si>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</si>
  <si>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</si>
  <si>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</si>
  <si>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</si>
  <si>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</si>
  <si>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</si>
  <si>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</si>
  <si>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</si>
  <si>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</si>
  <si>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</si>
  <si>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</si>
  <si>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</si>
  <si>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</si>
  <si>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</si>
  <si>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</si>
  <si>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</si>
  <si>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</si>
  <si>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</si>
  <si>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</si>
  <si>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</si>
  <si>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</si>
  <si>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</si>
  <si>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</si>
  <si>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</si>
  <si>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</si>
  <si>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</si>
  <si>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</si>
  <si>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</si>
  <si>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</si>
  <si>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</si>
  <si>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</si>
  <si>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</si>
  <si>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</si>
  <si>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</si>
  <si>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</si>
  <si>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</si>
  <si>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</si>
  <si>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</si>
  <si>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</si>
  <si>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</si>
  <si>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</si>
  <si>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</si>
  <si>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</si>
  <si>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</si>
  <si>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</si>
  <si>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</si>
  <si>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</si>
  <si>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</si>
  <si>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</si>
  <si>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</si>
  <si>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</si>
  <si>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</si>
  <si>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</si>
  <si>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</si>
  <si>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</si>
  <si>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</si>
  <si>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</si>
  <si>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</si>
  <si>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</si>
  <si>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</si>
  <si>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</si>
  <si>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</si>
  <si>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</si>
  <si>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</si>
  <si>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</si>
  <si>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</si>
  <si>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</si>
  <si>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</si>
  <si>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</si>
  <si>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</si>
  <si>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</si>
  <si>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</si>
  <si>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</si>
  <si>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</si>
  <si>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</si>
  <si>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</si>
  <si>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</si>
  <si>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</si>
  <si>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</si>
  <si>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</si>
  <si>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</si>
  <si>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</si>
  <si>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</si>
  <si>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</si>
  <si>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</si>
  <si>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</si>
  <si>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</si>
  <si>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</si>
  <si>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</si>
  <si>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</si>
  <si>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</si>
  <si>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</si>
  <si>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</si>
  <si>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</si>
  <si>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</si>
  <si>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</si>
  <si>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</si>
  <si>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</si>
  <si>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</si>
  <si>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</si>
  <si>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</si>
  <si>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</si>
  <si>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</si>
  <si>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</si>
  <si>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</si>
  <si>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</si>
  <si>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</si>
  <si>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</si>
  <si>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</si>
  <si>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</si>
  <si>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</si>
  <si>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</si>
  <si>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</si>
  <si>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</si>
  <si>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</si>
  <si>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</si>
  <si>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</si>
  <si>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</si>
  <si>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</si>
  <si>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</si>
  <si>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</si>
  <si>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</si>
  <si>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</si>
  <si>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</si>
  <si>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</si>
  <si>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</si>
  <si>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</si>
  <si>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</si>
  <si>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</si>
  <si>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</si>
  <si>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</si>
  <si>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</si>
  <si>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</si>
  <si>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</si>
  <si>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</si>
  <si>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</si>
  <si>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</si>
  <si>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</si>
  <si>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</si>
  <si>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</si>
  <si>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</si>
  <si>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</si>
  <si>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</si>
  <si>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</si>
  <si>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</si>
  <si>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</si>
  <si>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</si>
  <si>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</si>
  <si>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</si>
  <si>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</si>
  <si>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</si>
  <si>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</si>
  <si>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</si>
  <si>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</si>
  <si>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</si>
  <si>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</si>
  <si>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</si>
  <si>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</si>
  <si>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</si>
  <si>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</si>
  <si>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</si>
  <si>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</si>
  <si>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</si>
  <si>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</si>
  <si>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</si>
  <si>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</si>
  <si>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</si>
  <si>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</si>
  <si>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</si>
  <si>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</si>
  <si>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</si>
  <si>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</si>
  <si>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</si>
  <si>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</si>
  <si>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</si>
  <si>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</si>
  <si>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</si>
  <si>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</si>
  <si>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</si>
  <si>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</si>
  <si>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</si>
  <si>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</si>
  <si>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</si>
  <si>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</si>
  <si>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</si>
  <si>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</si>
  <si>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</si>
  <si>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</si>
  <si>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</si>
  <si>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</si>
  <si>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</si>
  <si>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</si>
  <si>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</si>
  <si>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</si>
  <si>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</si>
  <si>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</si>
  <si>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</si>
  <si>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</si>
  <si>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</si>
  <si>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</si>
  <si>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</si>
  <si>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</si>
  <si>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</si>
  <si>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</si>
  <si>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</si>
  <si>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</si>
  <si>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</si>
  <si>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</si>
  <si>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</si>
  <si>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</si>
  <si>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</si>
  <si>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</si>
  <si>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</si>
  <si>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</si>
  <si>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</si>
  <si>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</si>
  <si>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</si>
  <si>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</si>
  <si>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</si>
  <si>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</si>
  <si>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</si>
  <si>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</si>
  <si>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</si>
  <si>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</si>
  <si>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</si>
  <si>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</si>
  <si>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</si>
  <si>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</si>
  <si>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</si>
  <si>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</si>
  <si>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</si>
  <si>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</si>
  <si>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</si>
  <si>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</si>
  <si>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</si>
  <si>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</si>
  <si>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</si>
  <si>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</si>
  <si>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</si>
  <si>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</si>
  <si>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</si>
  <si>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</si>
  <si>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</si>
  <si>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</si>
  <si>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</si>
  <si>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</si>
  <si>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</si>
  <si>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</si>
  <si>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</si>
  <si>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</si>
  <si>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</si>
  <si>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</si>
  <si>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</si>
  <si>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</si>
  <si>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</si>
  <si>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</si>
  <si>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</si>
  <si>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</si>
  <si>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</si>
  <si>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</si>
  <si>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</si>
  <si>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</si>
  <si>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</si>
  <si>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</si>
  <si>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</si>
  <si>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</si>
  <si>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</si>
  <si>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</si>
  <si>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</si>
  <si>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</si>
  <si>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</si>
  <si>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</si>
  <si>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</si>
  <si>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</si>
  <si>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</si>
  <si>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</si>
  <si>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</si>
  <si>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</si>
  <si>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</si>
  <si>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</si>
  <si>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</si>
  <si>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</si>
  <si>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</si>
  <si>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</si>
  <si>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</si>
  <si>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</si>
  <si>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</si>
  <si>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</si>
  <si>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</si>
  <si>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</si>
  <si>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</si>
  <si>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</si>
  <si>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</si>
  <si>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</si>
  <si>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</si>
  <si>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</si>
  <si>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</si>
  <si>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</si>
  <si>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</si>
  <si>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</si>
  <si>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</si>
  <si>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</si>
  <si>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</si>
  <si>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</si>
  <si>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</si>
  <si>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</si>
  <si>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</si>
  <si>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</si>
  <si>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</si>
  <si>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</si>
  <si>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</si>
  <si>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</si>
  <si>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</si>
  <si>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</si>
  <si>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</si>
  <si>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</si>
  <si>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</si>
  <si>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</si>
  <si>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</si>
  <si>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</si>
  <si>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</si>
  <si>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</si>
  <si>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</si>
  <si>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</si>
  <si>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</si>
  <si>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</si>
  <si>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</si>
  <si>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</si>
  <si>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</si>
  <si>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</si>
  <si>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</si>
  <si>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</si>
  <si>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</si>
  <si>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</si>
  <si>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</si>
  <si>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</si>
  <si>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</si>
  <si>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</si>
  <si>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</si>
  <si>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</si>
  <si>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</si>
  <si>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</si>
  <si>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</si>
  <si>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</si>
  <si>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</si>
  <si>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</si>
  <si>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</si>
  <si>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</si>
  <si>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</si>
  <si>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</si>
  <si>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</si>
  <si>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</si>
  <si>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</si>
  <si>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</si>
  <si>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</si>
  <si>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</si>
  <si>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</si>
  <si>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</si>
  <si>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</si>
  <si>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</si>
  <si>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</si>
  <si>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</si>
  <si>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</si>
  <si>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</si>
  <si>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</si>
  <si>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</si>
  <si>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</si>
  <si>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</si>
  <si>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</si>
  <si>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</si>
  <si>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</si>
  <si>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</si>
  <si>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</si>
  <si>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</si>
  <si>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</si>
  <si>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</si>
  <si>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</si>
  <si>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</si>
  <si>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</si>
  <si>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</si>
  <si>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</si>
  <si>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</si>
  <si>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</si>
  <si>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</si>
  <si>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</si>
  <si>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</si>
  <si>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</si>
  <si>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</si>
  <si>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</si>
  <si>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</si>
  <si>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</si>
  <si>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</si>
  <si>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</si>
  <si>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</si>
  <si>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</si>
  <si>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</si>
  <si>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</si>
  <si>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</si>
  <si>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</si>
  <si>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</si>
  <si>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</si>
  <si>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</si>
  <si>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</si>
  <si>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</si>
  <si>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</si>
  <si>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</si>
  <si>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</si>
  <si>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</si>
  <si>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</si>
  <si>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</si>
  <si>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</si>
  <si>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</si>
  <si>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</si>
  <si>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</si>
  <si>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</si>
  <si>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</si>
  <si>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</si>
  <si>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</si>
  <si>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</si>
  <si>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</si>
  <si>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</si>
  <si>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</si>
  <si>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</si>
  <si>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</si>
  <si>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</si>
  <si>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</si>
  <si>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</si>
  <si>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</si>
  <si>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</si>
  <si>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</si>
  <si>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</si>
  <si>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</si>
  <si>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</si>
  <si>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</si>
  <si>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</si>
  <si>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</si>
  <si>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</si>
  <si>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</si>
  <si>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</si>
  <si>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</si>
  <si>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</si>
  <si>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</si>
  <si>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</si>
  <si>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</si>
  <si>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</si>
  <si>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</si>
  <si>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</si>
  <si>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</si>
  <si>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</si>
  <si>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</si>
  <si>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</si>
  <si>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</si>
  <si>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</si>
  <si>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</si>
  <si>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</si>
  <si>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</si>
  <si>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</si>
  <si>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</si>
  <si>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</si>
  <si>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</si>
  <si>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</si>
  <si>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</si>
  <si>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</si>
  <si>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</si>
  <si>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</si>
  <si>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</si>
  <si>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</si>
  <si>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</si>
  <si>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</si>
  <si>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</si>
  <si>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</si>
  <si>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</si>
  <si>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</si>
  <si>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</si>
  <si>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</si>
  <si>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</si>
  <si>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</si>
  <si>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</si>
  <si>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</si>
  <si>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</si>
  <si>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</si>
  <si>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</si>
  <si>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</si>
  <si>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</si>
  <si>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</si>
  <si>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</si>
  <si>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</si>
  <si>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</si>
  <si>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</si>
  <si>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</si>
  <si>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</si>
  <si>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</si>
  <si>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</si>
  <si>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</si>
  <si>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</si>
  <si>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</si>
  <si>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</si>
  <si>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</si>
  <si>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</si>
  <si>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</si>
  <si>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</si>
  <si>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</si>
  <si>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</si>
  <si>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</si>
  <si>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</si>
  <si>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</si>
  <si>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</si>
  <si>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</si>
  <si>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</si>
  <si>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</si>
  <si>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</si>
  <si>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</si>
  <si>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</si>
  <si>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</si>
  <si>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</si>
  <si>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</si>
  <si>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</si>
  <si>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</si>
  <si>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</si>
  <si>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</si>
  <si>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</si>
  <si>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</si>
  <si>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</si>
  <si>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</si>
  <si>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</si>
  <si>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</si>
  <si>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</si>
  <si>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</si>
  <si>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</si>
  <si>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</si>
  <si>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</si>
  <si>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</si>
  <si>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</si>
  <si>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</si>
  <si>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</si>
  <si>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</si>
  <si>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</si>
  <si>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</si>
  <si>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</si>
  <si>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</si>
  <si>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</si>
  <si>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</si>
  <si>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</si>
  <si>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</si>
  <si>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</si>
  <si>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</si>
  <si>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</si>
  <si>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</si>
  <si>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</si>
  <si>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</si>
  <si>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</si>
  <si>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</si>
  <si>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</si>
  <si>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</si>
  <si>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</si>
  <si>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</si>
  <si>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</si>
  <si>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</si>
  <si>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</si>
  <si>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</si>
  <si>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</si>
  <si>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</si>
  <si>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</si>
  <si>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</si>
  <si>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</si>
  <si>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</si>
  <si>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</si>
  <si>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</si>
  <si>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</si>
  <si>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</si>
  <si>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</si>
  <si>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</si>
  <si>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</si>
  <si>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</si>
  <si>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</si>
  <si>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</si>
  <si>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</si>
  <si>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</si>
  <si>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</si>
  <si>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</si>
  <si>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</si>
  <si>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</si>
  <si>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</si>
  <si>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</si>
  <si>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</si>
  <si>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</si>
  <si>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</si>
  <si>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</si>
  <si>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</si>
  <si>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</si>
  <si>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</si>
  <si>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</si>
  <si>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</si>
  <si>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</si>
  <si>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</si>
  <si>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</si>
  <si>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</si>
  <si>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</si>
  <si>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</si>
  <si>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</si>
  <si>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</si>
  <si>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</si>
  <si>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</si>
  <si>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</si>
  <si>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</si>
  <si>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</si>
  <si>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</si>
  <si>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</si>
  <si>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</si>
  <si>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</si>
  <si>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</si>
  <si>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</si>
  <si>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</si>
  <si>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</si>
  <si>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</si>
  <si>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</si>
  <si>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</si>
  <si>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</si>
  <si>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</si>
  <si>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</si>
  <si>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</si>
  <si>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</si>
  <si>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</si>
  <si>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</si>
  <si>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</si>
  <si>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</si>
  <si>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</si>
  <si>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</si>
  <si>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</si>
  <si>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</si>
  <si>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</si>
  <si>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</si>
  <si>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</si>
  <si>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</si>
  <si>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</si>
  <si>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</si>
  <si>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</si>
  <si>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</si>
  <si>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</si>
  <si>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</si>
  <si>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</si>
  <si>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</si>
  <si>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</si>
  <si>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</si>
  <si>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</si>
  <si>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</si>
  <si>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</si>
  <si>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</si>
  <si>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</si>
  <si>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</si>
  <si>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</si>
  <si>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</si>
  <si>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</si>
  <si>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</si>
  <si>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</si>
  <si>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</si>
  <si>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</si>
  <si>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</si>
  <si>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</si>
  <si>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</si>
  <si>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</si>
  <si>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</si>
  <si>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</si>
  <si>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</si>
  <si>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</si>
  <si>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</si>
  <si>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</si>
  <si>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</si>
  <si>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</si>
  <si>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</si>
  <si>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</si>
  <si>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</si>
  <si>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</si>
  <si>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</si>
  <si>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</si>
  <si>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</si>
  <si>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</si>
  <si>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</si>
  <si>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</si>
  <si>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</si>
  <si>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</si>
  <si>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</si>
  <si>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</si>
  <si>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</si>
  <si>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</si>
  <si>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</si>
  <si>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</si>
  <si>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</si>
  <si>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</si>
  <si>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</si>
  <si>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</si>
  <si>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</si>
  <si>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</si>
  <si>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</si>
  <si>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</si>
  <si>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</si>
  <si>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</si>
  <si>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</si>
  <si>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</si>
  <si>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</si>
  <si>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</si>
  <si>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</si>
  <si>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</si>
  <si>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</si>
  <si>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</si>
  <si>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</si>
  <si>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</si>
  <si>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</si>
  <si>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</si>
  <si>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</si>
  <si>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</si>
  <si>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</si>
  <si>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</si>
  <si>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</si>
  <si>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</si>
  <si>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</si>
  <si>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</si>
  <si>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</si>
  <si>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</si>
  <si>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</si>
  <si>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</si>
  <si>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</si>
  <si>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</si>
  <si>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</si>
  <si>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</si>
  <si>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</si>
  <si>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</si>
  <si>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</si>
  <si>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</si>
  <si>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</si>
  <si>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</si>
  <si>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</si>
  <si>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</si>
  <si>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</si>
  <si>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</si>
  <si>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</si>
  <si>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</si>
  <si>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</si>
  <si>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</si>
  <si>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</si>
  <si>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</si>
  <si>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</si>
  <si>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</si>
  <si>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</si>
  <si>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</si>
  <si>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</si>
  <si>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</si>
  <si>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</si>
  <si>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</si>
  <si>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</si>
  <si>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</si>
  <si>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</si>
  <si>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</si>
  <si>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</si>
  <si>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</si>
  <si>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</si>
  <si>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</si>
  <si>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</si>
  <si>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</si>
  <si>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</si>
  <si>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</si>
  <si>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</si>
  <si>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</si>
  <si>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</si>
  <si>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</si>
  <si>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</si>
  <si>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</si>
  <si>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</si>
  <si>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</si>
  <si>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</si>
  <si>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</si>
  <si>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</si>
  <si>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</si>
  <si>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</si>
  <si>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</si>
  <si>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</si>
  <si>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</si>
  <si>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</si>
  <si>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</si>
  <si>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</si>
  <si>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</si>
  <si>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</si>
  <si>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</si>
  <si>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</si>
  <si>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</si>
  <si>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</si>
  <si>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</si>
  <si>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</si>
  <si>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</si>
  <si>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</si>
  <si>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</si>
  <si>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</si>
  <si>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</si>
  <si>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</si>
  <si>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</si>
  <si>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</si>
  <si>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</si>
  <si>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</si>
  <si>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</si>
  <si>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</si>
  <si>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</si>
  <si>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</si>
  <si>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</si>
  <si>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</si>
  <si>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</si>
  <si>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</si>
  <si>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</si>
  <si>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</si>
  <si>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</si>
  <si>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</si>
  <si>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</si>
  <si>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</si>
  <si>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</si>
  <si>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</si>
  <si>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</si>
  <si>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</si>
  <si>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</si>
  <si>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</si>
  <si>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</si>
  <si>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</si>
  <si>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</si>
  <si>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</si>
  <si>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</si>
  <si>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</si>
  <si>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</si>
  <si>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</si>
  <si>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</si>
  <si>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</si>
  <si>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</si>
  <si>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</si>
  <si>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</si>
  <si>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</si>
  <si>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</si>
  <si>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</si>
  <si>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</si>
  <si>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</si>
  <si>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</si>
  <si>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</si>
  <si>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</si>
  <si>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</si>
  <si>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</si>
  <si>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</si>
  <si>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</si>
  <si>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</si>
  <si>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</si>
  <si>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</si>
  <si>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</si>
  <si>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</si>
  <si>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</si>
  <si>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</si>
  <si>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</si>
  <si>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</si>
  <si>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</si>
  <si>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</si>
  <si>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</si>
  <si>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</si>
  <si>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</si>
  <si>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</si>
  <si>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</si>
  <si>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</si>
  <si>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</si>
  <si>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</si>
  <si>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</si>
  <si>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</si>
  <si>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</si>
  <si>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</si>
  <si>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</si>
  <si>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</si>
  <si>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</si>
  <si>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</si>
  <si>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</si>
  <si>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</si>
  <si>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</si>
  <si>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</si>
  <si>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</si>
  <si>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</si>
  <si>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</si>
  <si>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</si>
  <si>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</si>
  <si>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</si>
  <si>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</si>
  <si>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</si>
  <si>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</si>
  <si>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</si>
  <si>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</si>
  <si>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</si>
  <si>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</si>
  <si>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</si>
  <si>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</si>
  <si>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</si>
  <si>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</si>
  <si>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</si>
  <si>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</si>
  <si>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</si>
  <si>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</si>
  <si>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</si>
  <si>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</si>
  <si>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</si>
  <si>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</si>
  <si>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</si>
  <si>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</si>
  <si>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</si>
  <si>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</si>
  <si>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</si>
  <si>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</si>
  <si>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</si>
  <si>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</si>
  <si>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</si>
  <si>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</si>
  <si>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</si>
  <si>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</si>
  <si>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</si>
  <si>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</si>
  <si>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</si>
  <si>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</si>
  <si>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</si>
  <si>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</si>
  <si>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</si>
  <si>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</si>
  <si>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</si>
  <si>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</si>
  <si>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</si>
  <si>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</si>
  <si>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</si>
  <si>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</si>
  <si>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</si>
  <si>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</si>
  <si>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</si>
  <si>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</si>
  <si>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</si>
  <si>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</si>
  <si>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</si>
  <si>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</si>
  <si>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</si>
  <si>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</si>
  <si>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</si>
  <si>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</si>
  <si>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</si>
  <si>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</si>
  <si>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</si>
  <si>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</si>
  <si>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</si>
  <si>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</si>
  <si>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</si>
  <si>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</si>
  <si>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</si>
  <si>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</si>
  <si>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</si>
  <si>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</si>
  <si>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</si>
  <si>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</si>
  <si>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</si>
  <si>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</si>
  <si>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</si>
  <si>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</si>
  <si>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</si>
  <si>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</si>
  <si>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</si>
  <si>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</si>
  <si>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</si>
  <si>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</si>
  <si>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</si>
  <si>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</si>
  <si>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</si>
  <si>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</si>
  <si>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</si>
  <si>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</si>
  <si>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</si>
  <si>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</si>
  <si>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</si>
  <si>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</si>
  <si>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</si>
  <si>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</si>
  <si>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</si>
  <si>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</si>
  <si>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</si>
  <si>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</si>
  <si>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</si>
  <si>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</si>
  <si>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</si>
  <si>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</si>
  <si>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</si>
  <si>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</si>
  <si>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</si>
  <si>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</si>
  <si>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</si>
  <si>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</si>
  <si>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</si>
  <si>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</si>
  <si>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</si>
  <si>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</si>
  <si>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</si>
  <si>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</si>
  <si>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</si>
  <si>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</si>
  <si>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</si>
  <si>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</si>
  <si>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</si>
  <si>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</si>
  <si>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</si>
  <si>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</si>
  <si>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</si>
  <si>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</si>
  <si>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</si>
  <si>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</si>
  <si>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</si>
  <si>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</si>
  <si>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</si>
  <si>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</si>
  <si>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</si>
  <si>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</si>
  <si>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</si>
  <si>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</si>
  <si>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</si>
  <si>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</si>
  <si>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</si>
  <si>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</si>
  <si>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</si>
  <si>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</si>
  <si>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</si>
  <si>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</si>
  <si>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</si>
  <si>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</si>
  <si>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</si>
  <si>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</si>
  <si>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</si>
  <si>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</si>
  <si>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</si>
  <si>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</si>
  <si>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</si>
  <si>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</si>
  <si>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</si>
  <si>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</si>
  <si>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</si>
  <si>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</si>
  <si>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</si>
  <si>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</si>
  <si>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</si>
  <si>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</si>
  <si>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</si>
  <si>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</si>
  <si>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</si>
  <si>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</si>
  <si>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</si>
  <si>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</si>
  <si>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</si>
  <si>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</si>
  <si>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</si>
  <si>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</si>
  <si>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</si>
  <si>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</si>
  <si>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</si>
  <si>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</si>
  <si>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</si>
  <si>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</si>
  <si>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</si>
  <si>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</si>
  <si>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</si>
  <si>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</si>
  <si>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</si>
  <si>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</si>
  <si>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</si>
  <si>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</si>
  <si>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</si>
  <si>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</si>
  <si>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</si>
  <si>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</si>
  <si>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</si>
  <si>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</si>
  <si>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</si>
  <si>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</si>
  <si>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</si>
  <si>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</si>
  <si>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</si>
  <si>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</si>
  <si>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</si>
  <si>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</si>
  <si>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</si>
  <si>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</si>
  <si>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</si>
  <si>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</si>
  <si>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</si>
  <si>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</si>
  <si>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</si>
  <si>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</si>
  <si>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</si>
  <si>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</si>
  <si>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</si>
  <si>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</si>
  <si>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</si>
  <si>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</si>
  <si>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</si>
  <si>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</si>
  <si>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</si>
  <si>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</si>
  <si>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</si>
  <si>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</si>
  <si>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</si>
  <si>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</si>
  <si>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</si>
  <si>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</si>
  <si>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</si>
  <si>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</si>
  <si>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</si>
  <si>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</si>
  <si>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</si>
  <si>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</si>
  <si>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</si>
  <si>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</si>
  <si>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</si>
  <si>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</si>
  <si>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</si>
  <si>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</si>
  <si>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</si>
  <si>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</si>
  <si>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</si>
  <si>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</si>
  <si>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</si>
  <si>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</si>
  <si>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</si>
  <si>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</si>
  <si>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</si>
  <si>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</si>
  <si>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</si>
  <si>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</si>
  <si>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</si>
  <si>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</si>
  <si>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</si>
  <si>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</si>
  <si>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</si>
  <si>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</si>
  <si>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</si>
  <si>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</si>
  <si>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</si>
  <si>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</si>
  <si>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</si>
  <si>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</si>
  <si>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</si>
  <si>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</si>
  <si>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</si>
  <si>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</si>
  <si>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</si>
  <si>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</si>
  <si>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</si>
  <si>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</si>
  <si>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</si>
  <si>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</si>
  <si>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</si>
  <si>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</si>
  <si>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</si>
  <si>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</si>
  <si>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</si>
  <si>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</si>
  <si>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</si>
  <si>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</si>
  <si>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</si>
  <si>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</si>
  <si>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</si>
  <si>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</si>
  <si>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</si>
  <si>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</si>
  <si>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</si>
  <si>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</si>
  <si>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</si>
  <si>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</si>
  <si>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</si>
  <si>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</si>
  <si>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</si>
  <si>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</si>
  <si>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</si>
  <si>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</si>
  <si>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</si>
  <si>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</si>
  <si>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</si>
  <si>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</si>
  <si>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</si>
  <si>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</si>
  <si>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</si>
  <si>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</si>
  <si>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</si>
  <si>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</si>
  <si>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</si>
  <si>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</si>
  <si>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</si>
  <si>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</si>
  <si>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</si>
  <si>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</si>
  <si>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</si>
  <si>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</si>
  <si>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</si>
  <si>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</si>
  <si>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</si>
  <si>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</si>
  <si>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</si>
  <si>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</si>
  <si>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</si>
  <si>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</si>
  <si>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</si>
  <si>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</si>
  <si>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</si>
  <si>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</si>
  <si>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</si>
  <si>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</si>
  <si>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</si>
  <si>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</si>
  <si>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</si>
  <si>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</si>
  <si>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</si>
  <si>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</si>
  <si>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</si>
  <si>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</si>
  <si>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</si>
  <si>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</si>
  <si>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</si>
  <si>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</si>
  <si>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</si>
  <si>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</si>
  <si>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</si>
  <si>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</si>
  <si>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</si>
  <si>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</si>
  <si>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</si>
  <si>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</si>
  <si>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</si>
  <si>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</si>
  <si>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</si>
  <si>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</si>
  <si>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</si>
  <si>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</si>
  <si>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</si>
  <si>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</si>
  <si>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</si>
  <si>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</si>
  <si>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</si>
  <si>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</si>
  <si>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</si>
  <si>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</si>
  <si>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</si>
  <si>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</si>
  <si>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</si>
  <si>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</si>
  <si>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</si>
  <si>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</si>
  <si>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</si>
  <si>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</si>
  <si>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</si>
  <si>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</si>
  <si>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</si>
  <si>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</si>
  <si>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</si>
  <si>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</si>
  <si>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</si>
  <si>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</si>
  <si>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</si>
  <si>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</si>
  <si>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</si>
  <si>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</si>
  <si>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</si>
  <si>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</si>
  <si>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</si>
  <si>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</si>
  <si>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</si>
  <si>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</si>
  <si>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</si>
  <si>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</si>
  <si>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</si>
  <si>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</si>
  <si>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</si>
  <si>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</si>
  <si>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</si>
  <si>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</si>
  <si>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</si>
  <si>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</si>
  <si>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</si>
  <si>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</si>
  <si>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</si>
  <si>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</si>
  <si>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</si>
  <si>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</si>
  <si>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</si>
  <si>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</si>
  <si>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</si>
  <si>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</si>
  <si>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</si>
  <si>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</si>
  <si>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</si>
  <si>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</si>
  <si>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</si>
  <si>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</si>
  <si>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</si>
  <si>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</si>
  <si>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</si>
  <si>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</si>
  <si>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</si>
  <si>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</si>
  <si>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</si>
  <si>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</si>
  <si>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</si>
  <si>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</si>
  <si>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KJLTVR311310R01</t>
  </si>
  <si>
    <t>LTVR3</t>
  </si>
  <si>
    <t>F173337</t>
  </si>
  <si>
    <t>2 - LLENO</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</si>
</sst>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48.6</c:v>
                </c:pt>
                <c:pt idx="2">
                  <c:v>21</c:v>
                </c:pt>
                <c:pt idx="3">
                  <c:v>21</c:v>
                </c:pt>
                <c:pt idx="4">
                  <c:v>10</c:v>
                </c:pt>
                <c:pt idx="6">
                  <c:v>12.9</c:v>
                </c:pt>
                <c:pt idx="7">
                  <c:v>12.6</c:v>
                </c:pt>
                <c:pt idx="8">
                  <c:v>15.6</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5571968"/>
        <c:axId val="75573504"/>
      </c:barChart>
      <c:catAx>
        <c:axId val="75571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5573504"/>
        <c:crossesAt val="0"/>
        <c:auto val="1"/>
        <c:lblAlgn val="ctr"/>
        <c:lblOffset val="100"/>
        <c:tickLblSkip val="1"/>
        <c:tickMarkSkip val="1"/>
        <c:noMultiLvlLbl val="0"/>
      </c:catAx>
      <c:valAx>
        <c:axId val="75573504"/>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5571968"/>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18.122600394664655</c:v>
                </c:pt>
              </c:numCache>
            </c:numRef>
          </c:xVal>
          <c:yVal>
            <c:numRef>
              <c:f>'Diagram Data'!$F$25</c:f>
              <c:numCache>
                <c:formatCode>0.00</c:formatCode>
                <c:ptCount val="1"/>
                <c:pt idx="0">
                  <c:v>287.86020807794051</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5620736"/>
        <c:axId val="75622656"/>
      </c:scatterChart>
      <c:valAx>
        <c:axId val="7562073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22656"/>
        <c:crosses val="autoZero"/>
        <c:crossBetween val="midCat"/>
      </c:valAx>
      <c:valAx>
        <c:axId val="7562265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2073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17.731317622258498</c:v>
                </c:pt>
              </c:numCache>
            </c:numRef>
          </c:xVal>
          <c:yVal>
            <c:numRef>
              <c:f>'Diagram Data'!$F$29</c:f>
              <c:numCache>
                <c:formatCode>0.00</c:formatCode>
                <c:ptCount val="1"/>
                <c:pt idx="0">
                  <c:v>287.86020807794051</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5793152"/>
        <c:axId val="75795072"/>
      </c:scatterChart>
      <c:valAx>
        <c:axId val="7579315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795072"/>
        <c:crosses val="autoZero"/>
        <c:crossBetween val="midCat"/>
      </c:valAx>
      <c:valAx>
        <c:axId val="7579507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79315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12.202819758069269</c:v>
                </c:pt>
              </c:numCache>
            </c:numRef>
          </c:xVal>
          <c:yVal>
            <c:numRef>
              <c:f>'Diagram Data'!$F$33</c:f>
              <c:numCache>
                <c:formatCode>0.00</c:formatCode>
                <c:ptCount val="1"/>
                <c:pt idx="0">
                  <c:v>72.601019678253294</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7288576"/>
        <c:axId val="77290496"/>
      </c:scatterChart>
      <c:valAx>
        <c:axId val="772885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7290496"/>
        <c:crosses val="autoZero"/>
        <c:crossBetween val="midCat"/>
      </c:valAx>
      <c:valAx>
        <c:axId val="77290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72885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13.017596897265859</c:v>
                </c:pt>
                <c:pt idx="1">
                  <c:v>13.456820676107549</c:v>
                </c:pt>
                <c:pt idx="2">
                  <c:v>14.213202585047354</c:v>
                </c:pt>
                <c:pt idx="3">
                  <c:v>15.361380003252926</c:v>
                </c:pt>
                <c:pt idx="4">
                  <c:v>16.686419783619819</c:v>
                </c:pt>
                <c:pt idx="5">
                  <c:v>17.73985811669268</c:v>
                </c:pt>
                <c:pt idx="6">
                  <c:v>18.121788158390665</c:v>
                </c:pt>
                <c:pt idx="7">
                  <c:v>17.643900385116289</c:v>
                </c:pt>
                <c:pt idx="8">
                  <c:v>16.375361450722888</c:v>
                </c:pt>
                <c:pt idx="9">
                  <c:v>14.625867564303512</c:v>
                </c:pt>
                <c:pt idx="10">
                  <c:v>13.036731560647537</c:v>
                </c:pt>
                <c:pt idx="11">
                  <c:v>12.786792746547999</c:v>
                </c:pt>
                <c:pt idx="12">
                  <c:v>13.017596897265859</c:v>
                </c:pt>
                <c:pt idx="13">
                  <c:v>13.456820676107549</c:v>
                </c:pt>
                <c:pt idx="14">
                  <c:v>14.213202585047354</c:v>
                </c:pt>
                <c:pt idx="15">
                  <c:v>15.361380003252926</c:v>
                </c:pt>
                <c:pt idx="16">
                  <c:v>16.686419783619815</c:v>
                </c:pt>
                <c:pt idx="17">
                  <c:v>17.73985811669268</c:v>
                </c:pt>
                <c:pt idx="18">
                  <c:v>18.121788158390665</c:v>
                </c:pt>
                <c:pt idx="19">
                  <c:v>17.643900385116286</c:v>
                </c:pt>
                <c:pt idx="20">
                  <c:v>16.375361450722888</c:v>
                </c:pt>
                <c:pt idx="21">
                  <c:v>14.625867564303512</c:v>
                </c:pt>
                <c:pt idx="22">
                  <c:v>13.03673156064754</c:v>
                </c:pt>
                <c:pt idx="23">
                  <c:v>12.786792746548</c:v>
                </c:pt>
                <c:pt idx="24">
                  <c:v>13.017596897265861</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17.721508577780874</c:v>
                </c:pt>
                <c:pt idx="1">
                  <c:v>17.399119715607476</c:v>
                </c:pt>
                <c:pt idx="2">
                  <c:v>16.261174792855336</c:v>
                </c:pt>
                <c:pt idx="3">
                  <c:v>14.612585232606987</c:v>
                </c:pt>
                <c:pt idx="4">
                  <c:v>12.895089276181356</c:v>
                </c:pt>
                <c:pt idx="5">
                  <c:v>11.568888578106408</c:v>
                </c:pt>
                <c:pt idx="6">
                  <c:v>10.989337544432916</c:v>
                </c:pt>
                <c:pt idx="7">
                  <c:v>11.311726406606319</c:v>
                </c:pt>
                <c:pt idx="8">
                  <c:v>12.449671329358456</c:v>
                </c:pt>
                <c:pt idx="9">
                  <c:v>14.098260889606804</c:v>
                </c:pt>
                <c:pt idx="10">
                  <c:v>15.815756846032437</c:v>
                </c:pt>
                <c:pt idx="11">
                  <c:v>17.141957544107385</c:v>
                </c:pt>
                <c:pt idx="12">
                  <c:v>17.721508577780874</c:v>
                </c:pt>
                <c:pt idx="13">
                  <c:v>17.399119715607476</c:v>
                </c:pt>
                <c:pt idx="14">
                  <c:v>16.261174792855336</c:v>
                </c:pt>
                <c:pt idx="15">
                  <c:v>14.612585232606989</c:v>
                </c:pt>
                <c:pt idx="16">
                  <c:v>12.895089276181357</c:v>
                </c:pt>
                <c:pt idx="17">
                  <c:v>11.568888578106407</c:v>
                </c:pt>
                <c:pt idx="18">
                  <c:v>10.989337544432916</c:v>
                </c:pt>
                <c:pt idx="19">
                  <c:v>11.311726406606319</c:v>
                </c:pt>
                <c:pt idx="20">
                  <c:v>12.449671329358459</c:v>
                </c:pt>
                <c:pt idx="21">
                  <c:v>14.098260889606804</c:v>
                </c:pt>
                <c:pt idx="22">
                  <c:v>15.815756846032434</c:v>
                </c:pt>
                <c:pt idx="23">
                  <c:v>17.141957544107388</c:v>
                </c:pt>
                <c:pt idx="24">
                  <c:v>17.721508577780874</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89.355566552600351</c:v>
                </c:pt>
              </c:numCache>
            </c:numRef>
          </c:xVal>
          <c:yVal>
            <c:numRef>
              <c:f>'Payload Input'!$J$89</c:f>
              <c:numCache>
                <c:formatCode>General</c:formatCode>
                <c:ptCount val="1"/>
                <c:pt idx="0">
                  <c:v>18.122600394664655</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2.1843979647996816</c:v>
                </c:pt>
              </c:numCache>
            </c:numRef>
          </c:xVal>
          <c:yVal>
            <c:numRef>
              <c:f>'Payload Input'!$K$90</c:f>
              <c:numCache>
                <c:formatCode>General</c:formatCode>
                <c:ptCount val="1"/>
                <c:pt idx="0">
                  <c:v>17.731317622258498</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12.202819758069269</c:v>
                </c:pt>
              </c:numCache>
            </c:numRef>
          </c:yVal>
          <c:smooth val="1"/>
        </c:ser>
        <c:dLbls>
          <c:showLegendKey val="0"/>
          <c:showVal val="0"/>
          <c:showCatName val="0"/>
          <c:showSerName val="0"/>
          <c:showPercent val="0"/>
          <c:showBubbleSize val="0"/>
        </c:dLbls>
        <c:axId val="77343744"/>
        <c:axId val="77370496"/>
      </c:scatterChart>
      <c:valAx>
        <c:axId val="77343744"/>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7370496"/>
        <c:crosses val="autoZero"/>
        <c:crossBetween val="midCat"/>
      </c:valAx>
      <c:valAx>
        <c:axId val="7737049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7343744"/>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2423808"/>
        <c:axId val="82425344"/>
      </c:scatterChart>
      <c:valAx>
        <c:axId val="8242380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2425344"/>
        <c:crosses val="autoZero"/>
        <c:crossBetween val="midCat"/>
      </c:valAx>
      <c:valAx>
        <c:axId val="82425344"/>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242380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4042</v>
      </c>
      <c r="H4" s="968"/>
    </row>
    <row r="5" spans="1:8" s="83" customFormat="1" ht="15">
      <c r="B5" s="280"/>
      <c r="C5" s="285">
        <f>VLOOKUP('Misc Data'!$B$26,Table1,17)</f>
        <v>0</v>
      </c>
      <c r="F5" s="787" t="s">
        <v>3950</v>
      </c>
      <c r="G5" s="969" t="s">
        <v>4040</v>
      </c>
      <c r="H5" s="973"/>
    </row>
    <row r="6" spans="1:8" s="83" customFormat="1" ht="15">
      <c r="B6" s="280" t="s">
        <v>3936</v>
      </c>
      <c r="C6" s="794" t="str">
        <f>'Misc Data'!C11</f>
        <v>CofG - SI</v>
      </c>
      <c r="F6" s="787" t="s">
        <v>3951</v>
      </c>
      <c r="G6" s="969" t="s">
        <v>4041</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105</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4.5226929999999999E-2</v>
      </c>
      <c r="F13" s="785" t="s">
        <v>3913</v>
      </c>
      <c r="G13" s="151"/>
      <c r="H13" s="170" t="str">
        <f>'Wrist Load Analysis'!R16</f>
        <v>OK</v>
      </c>
    </row>
    <row r="14" spans="1:8" ht="13.5" thickBot="1">
      <c r="B14" s="163" t="str">
        <f>HLOOKUP(Anal_Payload_Code,Unit_text,5)</f>
        <v>Payload Center Y (m)</v>
      </c>
      <c r="C14" s="338">
        <v>-5.4152770000000003E-2</v>
      </c>
      <c r="F14" s="786" t="s">
        <v>3914</v>
      </c>
      <c r="G14" s="70"/>
      <c r="H14" s="443" t="str">
        <f>'Wrist Load Analysis'!R17</f>
        <v>OK</v>
      </c>
    </row>
    <row r="15" spans="1:8">
      <c r="B15" s="163" t="str">
        <f>IF(Axis_Type=1,"--------------------------------",HLOOKUP(Anal_Payload_Code,Unit_text,6))</f>
        <v>Payload Center Z (m)</v>
      </c>
      <c r="C15" s="338">
        <v>3.5704050000000001E-2</v>
      </c>
      <c r="F15" s="444"/>
      <c r="G15" s="169"/>
      <c r="H15" s="169"/>
    </row>
    <row r="16" spans="1:8">
      <c r="A16" s="264"/>
      <c r="B16" s="163" t="str">
        <f>HLOOKUP(Anal_Payload_Code,Unit_text,7)</f>
        <v>Payload Inertia Ix (Kg.m^2)</v>
      </c>
      <c r="C16" s="338">
        <v>2.9869509999999999</v>
      </c>
      <c r="E16" s="264"/>
      <c r="F16" s="5"/>
      <c r="G16" s="151"/>
      <c r="H16" s="151"/>
    </row>
    <row r="17" spans="1:8" ht="13.5" thickBot="1">
      <c r="B17" s="265" t="str">
        <f>HLOOKUP(Anal_Payload_Code,Unit_text,8)</f>
        <v>Payload Inertia Iy (Kg.m^2)</v>
      </c>
      <c r="C17" s="339">
        <v>9.8122620000000005</v>
      </c>
      <c r="D17" s="264"/>
      <c r="F17" s="12"/>
      <c r="G17" s="263"/>
      <c r="H17" s="263"/>
    </row>
    <row r="18" spans="1:8" ht="16.149999999999999" customHeight="1" thickBot="1">
      <c r="B18" s="412" t="str">
        <f>IF(Axis_Type=1,"--------------------------------",HLOOKUP(Anal_Payload_Code,Unit_text,9))</f>
        <v>Payload Inertia Iz (Kg.m^2)</v>
      </c>
      <c r="C18" s="548">
        <v>11.68013</v>
      </c>
      <c r="F18" s="780" t="s">
        <v>3956</v>
      </c>
      <c r="G18" s="168"/>
      <c r="H18" s="167"/>
    </row>
    <row r="19" spans="1:8" ht="16.5" thickBot="1">
      <c r="A19" s="264"/>
      <c r="C19" s="192"/>
      <c r="D19" s="192"/>
      <c r="E19" s="264"/>
      <c r="F19" s="789" t="s">
        <v>4037</v>
      </c>
      <c r="G19" s="171"/>
      <c r="H19" s="325">
        <f>'Wrist Load Analysis'!R20</f>
        <v>48.6</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105</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21</v>
      </c>
    </row>
    <row r="23" spans="1:8">
      <c r="B23" s="785" t="s">
        <v>3942</v>
      </c>
      <c r="C23" s="336">
        <f>VLOOKUP('Misc Data'!$B$26,Table1,6)</f>
        <v>1333</v>
      </c>
      <c r="D23" s="365">
        <f>'Wrist Load Analysis'!R7</f>
        <v>287.86020807794051</v>
      </c>
      <c r="F23" s="785" t="s">
        <v>3959</v>
      </c>
      <c r="G23" s="380"/>
      <c r="H23" s="442">
        <f>'Wrist Load Analysis'!R23</f>
        <v>21</v>
      </c>
    </row>
    <row r="24" spans="1:8" ht="13.5" thickBot="1">
      <c r="A24" s="264"/>
      <c r="B24" s="785" t="s">
        <v>3943</v>
      </c>
      <c r="C24" s="336">
        <f>VLOOKUP('Misc Data'!$B$26,Table1,7)</f>
        <v>1333</v>
      </c>
      <c r="D24" s="365">
        <f>'Wrist Load Analysis'!R8</f>
        <v>287.86020807794051</v>
      </c>
      <c r="E24" s="264"/>
      <c r="F24" s="786" t="s">
        <v>3960</v>
      </c>
      <c r="G24" s="381"/>
      <c r="H24" s="327">
        <f>IF(Axis_Count=1,"-",'Wrist Load Analysis'!R24)</f>
        <v>10</v>
      </c>
    </row>
    <row r="25" spans="1:8">
      <c r="A25" s="264"/>
      <c r="B25" s="785" t="s">
        <v>3944</v>
      </c>
      <c r="C25" s="336">
        <f>VLOOKUP('Misc Data'!$B$26,Table1,8)</f>
        <v>706</v>
      </c>
      <c r="D25" s="365">
        <f>IF(Axis_Count=1,"-",'Wrist Load Analysis'!R9)</f>
        <v>72.601019678253294</v>
      </c>
      <c r="E25" s="264"/>
      <c r="F25" s="791" t="s">
        <v>3961</v>
      </c>
      <c r="G25" s="172"/>
      <c r="H25" s="363"/>
    </row>
    <row r="26" spans="1:8">
      <c r="A26" s="264"/>
      <c r="B26" s="785" t="s">
        <v>3945</v>
      </c>
      <c r="C26" s="336">
        <f>VLOOKUP('Misc Data'!$B$26,Table1,9)</f>
        <v>141.1</v>
      </c>
      <c r="D26" s="365">
        <f>'Wrist Load Analysis'!R10</f>
        <v>18.122600394664655</v>
      </c>
      <c r="E26" s="264"/>
      <c r="F26" s="785" t="s">
        <v>3958</v>
      </c>
      <c r="G26" s="266"/>
      <c r="H26" s="326">
        <f>'Wrist Load Analysis'!R26</f>
        <v>12.9</v>
      </c>
    </row>
    <row r="27" spans="1:8">
      <c r="A27" s="264"/>
      <c r="B27" s="785" t="s">
        <v>3946</v>
      </c>
      <c r="C27" s="336">
        <f>VLOOKUP('Misc Data'!$B$26,Table1,10)</f>
        <v>141.1</v>
      </c>
      <c r="D27" s="365">
        <f>'Wrist Load Analysis'!R11</f>
        <v>17.731317622258498</v>
      </c>
      <c r="E27" s="264"/>
      <c r="F27" s="785" t="s">
        <v>3959</v>
      </c>
      <c r="G27" s="267"/>
      <c r="H27" s="326">
        <f>'Wrist Load Analysis'!R27</f>
        <v>12.6</v>
      </c>
    </row>
    <row r="28" spans="1:8" ht="13.5" thickBot="1">
      <c r="A28" s="264"/>
      <c r="B28" s="786" t="s">
        <v>3947</v>
      </c>
      <c r="C28" s="544">
        <f>VLOOKUP('Misc Data'!$B$26,Table1,11)</f>
        <v>78.400000000000006</v>
      </c>
      <c r="D28" s="545">
        <f>IF(Axis_Count=1,"-",'Wrist Load Analysis'!R12)</f>
        <v>12.202819758069269</v>
      </c>
      <c r="E28" s="264"/>
      <c r="F28" s="786" t="s">
        <v>3960</v>
      </c>
      <c r="G28" s="268"/>
      <c r="H28" s="327">
        <f>IF(Axis_Count=1,"-",'Wrist Load Analysis'!R28)</f>
        <v>15.6</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F173337</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KJLTVR311310R01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LTVR3</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2 - LLENO</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105</v>
      </c>
      <c r="G9" s="355"/>
      <c r="H9" s="345"/>
      <c r="I9" s="345"/>
    </row>
    <row r="10" spans="1:12" ht="13.5">
      <c r="A10" s="345"/>
      <c r="B10" s="353"/>
      <c r="C10" s="356">
        <v>3</v>
      </c>
      <c r="D10" s="354" t="s">
        <v>3756</v>
      </c>
      <c r="E10" s="354" t="str">
        <f>IF($E$22=TRUE,"[m]","[cm]")</f>
        <v>[cm]</v>
      </c>
      <c r="F10" s="357">
        <f>IF(Load_Set_2=FALSE,"-",IF($E$22=TRUE,Load_Set_2/100,Load_Set_2))</f>
        <v>4.5229999999999997</v>
      </c>
      <c r="G10" s="355"/>
      <c r="H10" s="345"/>
      <c r="I10" s="345"/>
    </row>
    <row r="11" spans="1:12" ht="13.5">
      <c r="A11" s="345"/>
      <c r="B11" s="353"/>
      <c r="C11" s="356">
        <v>4</v>
      </c>
      <c r="D11" s="354" t="s">
        <v>3011</v>
      </c>
      <c r="E11" s="354" t="str">
        <f>IF($E$22=TRUE,"[m]","[cm]")</f>
        <v>[cm]</v>
      </c>
      <c r="F11" s="357">
        <f>IF(Load_Set_3=FALSE,"-",IF($E$22=TRUE,Load_Set_3/100,Load_Set_3))</f>
        <v>-5.415</v>
      </c>
      <c r="G11" s="355"/>
      <c r="H11" s="345"/>
      <c r="I11" s="345"/>
    </row>
    <row r="12" spans="1:12" ht="13.5">
      <c r="A12" s="345"/>
      <c r="B12" s="447"/>
      <c r="C12" s="356">
        <v>5</v>
      </c>
      <c r="D12" s="354" t="s">
        <v>350</v>
      </c>
      <c r="E12" s="354" t="str">
        <f>IF($E$22=TRUE,"[m]","[cm]")</f>
        <v>[cm]</v>
      </c>
      <c r="F12" s="357">
        <f>IF(Load_Set_4=FALSE,"-",IF($E$22=TRUE,Load_Set_4/100,Load_Set_4))</f>
        <v>3.57</v>
      </c>
      <c r="G12" s="355"/>
      <c r="H12" s="345"/>
      <c r="I12" s="345"/>
    </row>
    <row r="13" spans="1:12" ht="13.5">
      <c r="A13" s="345"/>
      <c r="B13" s="353"/>
      <c r="C13" s="356">
        <v>6</v>
      </c>
      <c r="D13" s="354" t="s">
        <v>1116</v>
      </c>
      <c r="E13" s="354" t="str">
        <f>IF($E$22=TRUE,"[kgm^2]","[kgfcms^2]")</f>
        <v>[kgfcms^2]</v>
      </c>
      <c r="F13" s="357">
        <f>IF(Load_Set_5=FALSE,"-",IF($E$22=TRUE,Load_Set_5*0.098,Load_Set_5))</f>
        <v>30.478999999999999</v>
      </c>
      <c r="G13" s="355"/>
      <c r="H13" s="345"/>
      <c r="I13" s="345"/>
    </row>
    <row r="14" spans="1:12" ht="13.5">
      <c r="A14" s="345"/>
      <c r="B14" s="353"/>
      <c r="C14" s="356">
        <v>7</v>
      </c>
      <c r="D14" s="354" t="s">
        <v>1847</v>
      </c>
      <c r="E14" s="354" t="str">
        <f>IF($E$22=TRUE,"[kgm^2]","[kgfcms^2]")</f>
        <v>[kgfcms^2]</v>
      </c>
      <c r="F14" s="357">
        <f>IF(Load_Set_6=FALSE,"-",IF($E$22=TRUE,Load_Set_6*0.098,Load_Set_6))</f>
        <v>100.125</v>
      </c>
      <c r="G14" s="355"/>
      <c r="H14" s="345"/>
      <c r="I14" s="345"/>
    </row>
    <row r="15" spans="1:12" ht="13.5">
      <c r="A15" s="345"/>
      <c r="B15" s="353"/>
      <c r="C15" s="356">
        <v>8</v>
      </c>
      <c r="D15" s="354" t="s">
        <v>3012</v>
      </c>
      <c r="E15" s="354" t="str">
        <f>IF($E$22=TRUE,"[kgm^2]","[kgfcms^2]")</f>
        <v>[kgfcms^2]</v>
      </c>
      <c r="F15" s="357">
        <f>IF(Load_Set_7=FALSE,"-",IF($E$22=TRUE,Load_Set_7*0.098,Load_Set_7))</f>
        <v>119.185</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105</v>
      </c>
      <c r="H6" s="625" t="s">
        <v>2962</v>
      </c>
      <c r="I6" s="551">
        <f>IF((Anal_Payload_Code=1),Anal_Input_1,IF((Anal_Payload_Code=2),Anal_Input_1,0))</f>
        <v>105</v>
      </c>
      <c r="J6" s="551">
        <f>IF((Anal_Payload_Code=1),Anal_Input_1,IF((Anal_Payload_Code=2),Anal_Input_1,0))</f>
        <v>105</v>
      </c>
      <c r="K6" s="551">
        <f>IF((Anal_Payload_Code=1),Anal_Input_1,IF((Anal_Payload_Code=2),Anal_Input_1,0))</f>
        <v>105</v>
      </c>
      <c r="L6" s="7"/>
    </row>
    <row r="7" spans="2:18">
      <c r="B7" s="8" t="s">
        <v>2963</v>
      </c>
      <c r="C7" s="626">
        <f t="shared" ref="C7:C12" si="0">IF(Anal_Robot_Code=10105,J7,IF(Anal_Robot_Code=10112,J7,IF(Anal_Robot_Code=10111,K7,I7)))</f>
        <v>4.5226929999999999E-2</v>
      </c>
      <c r="D7" s="290"/>
      <c r="E7" s="290"/>
      <c r="H7" s="8" t="s">
        <v>2963</v>
      </c>
      <c r="I7" s="551">
        <f>IF((Anal_Payload_Code=1),Anal_Input_2,IF((Anal_Payload_Code=2),Anal_Input_2*0.01,0))</f>
        <v>4.5226929999999999E-2</v>
      </c>
      <c r="J7" s="552">
        <f>(0.007+L9)*SIN(RADIANS(30))+L7*COS(RADIANS(30))</f>
        <v>6.051969531518054E-2</v>
      </c>
      <c r="K7" s="552">
        <f>(0.01+L9)*SIN(RADIANS(30))+L7*COS(RADIANS(30))</f>
        <v>6.2019695315180541E-2</v>
      </c>
      <c r="L7" s="439">
        <f>IF((Anal_Payload_Code=1),Anal_Input_2,IF((Anal_Payload_Code=2),Anal_Input_2*0.01,0))</f>
        <v>4.5226929999999999E-2</v>
      </c>
    </row>
    <row r="8" spans="2:18">
      <c r="B8" s="8" t="s">
        <v>2964</v>
      </c>
      <c r="C8" s="626">
        <f t="shared" si="0"/>
        <v>-5.4152770000000003E-2</v>
      </c>
      <c r="D8" s="290"/>
      <c r="E8" s="290"/>
      <c r="H8" s="8" t="s">
        <v>2964</v>
      </c>
      <c r="I8" s="551">
        <f>IF((Anal_Payload_Code=1),Anal_Input_3,IF((Anal_Payload_Code=2),Anal_Input_3*0.01,0))</f>
        <v>-5.4152770000000003E-2</v>
      </c>
      <c r="J8" s="551">
        <f>IF((Anal_Payload_Code=1),Anal_Input_3,IF((Anal_Payload_Code=2),Anal_Input_3*0.01,0))</f>
        <v>-5.4152770000000003E-2</v>
      </c>
      <c r="K8" s="551">
        <f>IF((Anal_Payload_Code=1),Anal_Input_3,IF((Anal_Payload_Code=2),Anal_Input_3*0.01,0))</f>
        <v>-5.4152770000000003E-2</v>
      </c>
      <c r="L8" s="7"/>
    </row>
    <row r="9" spans="2:18">
      <c r="B9" s="8" t="s">
        <v>840</v>
      </c>
      <c r="C9" s="626">
        <f t="shared" si="0"/>
        <v>3.5704050000000001E-2</v>
      </c>
      <c r="D9" s="290"/>
      <c r="E9" s="290"/>
      <c r="H9" s="8" t="s">
        <v>840</v>
      </c>
      <c r="I9" s="551">
        <f>IF((Anal_Payload_Code=1),Anal_Input_4,IF((Anal_Payload_Code=2),Anal_Input_4*0.01,0))</f>
        <v>3.5704050000000001E-2</v>
      </c>
      <c r="J9" s="552">
        <f>(0.007+L9)*COS(RADIANS(30))-L7*SIN(RADIANS(30))</f>
        <v>1.4369327144480862E-2</v>
      </c>
      <c r="K9" s="552">
        <f>(0.01+L9)*COS(RADIANS(30))-L7*SIN(RADIANS(30))</f>
        <v>1.6967403355834184E-2</v>
      </c>
      <c r="L9" s="439">
        <f>IF((Anal_Payload_Code=1),Anal_Input_4,IF((Anal_Payload_Code=2),Anal_Input_4*0.01,0))</f>
        <v>3.5704050000000001E-2</v>
      </c>
    </row>
    <row r="10" spans="2:18">
      <c r="B10" s="8" t="s">
        <v>2965</v>
      </c>
      <c r="C10" s="626">
        <f t="shared" si="0"/>
        <v>2.9869509999999999</v>
      </c>
      <c r="D10" s="290"/>
      <c r="E10" s="290"/>
      <c r="H10" s="8" t="s">
        <v>2965</v>
      </c>
      <c r="I10" s="551">
        <f>IF((Anal_Payload_Code=1),Anal_Input_5,IF((Anal_Payload_Code=2),Anal_Input_5*0.098,0))</f>
        <v>2.9869509999999999</v>
      </c>
      <c r="J10" s="552">
        <f>L10*(COS(RADIANS(30)))^2+L12*(SIN(RADIANS(30)))^2</f>
        <v>5.1602457499999996</v>
      </c>
      <c r="K10" s="552">
        <f>L10*(COS(RADIANS(30)))^2+L12*(SIN(RADIANS(30)))^2</f>
        <v>5.1602457499999996</v>
      </c>
      <c r="L10" s="439">
        <f>IF((Anal_Payload_Code=1),Anal_Input_5,IF((Anal_Payload_Code=2),Anal_Input_5*0.098,0))</f>
        <v>2.9869509999999999</v>
      </c>
    </row>
    <row r="11" spans="2:18">
      <c r="B11" s="8" t="s">
        <v>2362</v>
      </c>
      <c r="C11" s="626">
        <f t="shared" si="0"/>
        <v>9.8122620000000005</v>
      </c>
      <c r="D11" s="290"/>
      <c r="E11" s="290"/>
      <c r="H11" s="8" t="s">
        <v>2362</v>
      </c>
      <c r="I11" s="551">
        <f>IF((Anal_Payload_Code=1),Anal_Input_6,IF((Anal_Payload_Code=2),Anal_Input_6*0.098,0))</f>
        <v>9.8122620000000005</v>
      </c>
      <c r="J11" s="551">
        <f>IF((Anal_Payload_Code=1),Anal_Input_6,IF((Anal_Payload_Code=2),Anal_Input_6*0.098,0))</f>
        <v>9.8122620000000005</v>
      </c>
      <c r="K11" s="551">
        <f>IF((Anal_Payload_Code=1),Anal_Input_6,IF((Anal_Payload_Code=2),Anal_Input_6*0.098,0))</f>
        <v>9.8122620000000005</v>
      </c>
      <c r="L11" s="7"/>
    </row>
    <row r="12" spans="2:18">
      <c r="B12" s="8" t="s">
        <v>2363</v>
      </c>
      <c r="C12" s="626">
        <f t="shared" si="0"/>
        <v>11.68013</v>
      </c>
      <c r="D12" s="290"/>
      <c r="E12" s="290"/>
      <c r="H12" s="8" t="s">
        <v>2363</v>
      </c>
      <c r="I12" s="551">
        <f>IF((Anal_Payload_Code=1),Anal_Input_7,IF((Anal_Payload_Code=2),Anal_Input_7*0.098,0))</f>
        <v>11.68013</v>
      </c>
      <c r="J12" s="552">
        <f>L12*(COS(RADIANS(30)))^2+L10*(SIN(RADIANS(30)))^2</f>
        <v>9.50683525</v>
      </c>
      <c r="K12" s="552">
        <f>L12*(COS(RADIANS(30)))^2+L10*(SIN(RADIANS(30)))^2</f>
        <v>9.50683525</v>
      </c>
      <c r="L12" s="439">
        <f>IF((Anal_Payload_Code=1),Anal_Input_7,IF((Anal_Payload_Code=2),Anal_Input_7*0.098,0))</f>
        <v>11.68013</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105</v>
      </c>
      <c r="Y18" s="634"/>
    </row>
    <row r="19" spans="2:27" s="625" customFormat="1" ht="15" thickBot="1">
      <c r="B19" s="635"/>
      <c r="C19" s="631" t="s">
        <v>1863</v>
      </c>
      <c r="D19" s="632" t="s">
        <v>1861</v>
      </c>
      <c r="E19" s="633">
        <f t="shared" ref="E19:E24" si="1">C7</f>
        <v>4.5226929999999999E-2</v>
      </c>
      <c r="Y19" s="634"/>
    </row>
    <row r="20" spans="2:27" s="625" customFormat="1" ht="15" thickBot="1">
      <c r="B20" s="636" t="s">
        <v>3276</v>
      </c>
      <c r="C20" s="631" t="s">
        <v>3277</v>
      </c>
      <c r="D20" s="632" t="s">
        <v>1861</v>
      </c>
      <c r="E20" s="633">
        <f t="shared" si="1"/>
        <v>-5.4152770000000003E-2</v>
      </c>
      <c r="Y20" s="634"/>
    </row>
    <row r="21" spans="2:27" s="625" customFormat="1" ht="15" thickBot="1">
      <c r="B21" s="637"/>
      <c r="C21" s="631" t="s">
        <v>3278</v>
      </c>
      <c r="D21" s="632" t="s">
        <v>1861</v>
      </c>
      <c r="E21" s="633">
        <f t="shared" si="1"/>
        <v>3.5704050000000001E-2</v>
      </c>
      <c r="Y21" s="634"/>
    </row>
    <row r="22" spans="2:27" s="625" customFormat="1" ht="15" thickBot="1">
      <c r="B22" s="638"/>
      <c r="C22" s="631" t="s">
        <v>3279</v>
      </c>
      <c r="D22" s="632" t="s">
        <v>3280</v>
      </c>
      <c r="E22" s="633">
        <f t="shared" si="1"/>
        <v>2.9869509999999999</v>
      </c>
      <c r="Y22" s="634"/>
      <c r="AA22" s="639"/>
    </row>
    <row r="23" spans="2:27" s="625" customFormat="1" ht="15" thickBot="1">
      <c r="B23" s="636" t="s">
        <v>3281</v>
      </c>
      <c r="C23" s="631" t="s">
        <v>3282</v>
      </c>
      <c r="D23" s="632" t="s">
        <v>3280</v>
      </c>
      <c r="E23" s="633">
        <f t="shared" si="1"/>
        <v>9.8122620000000005</v>
      </c>
      <c r="Y23" s="634"/>
    </row>
    <row r="24" spans="2:27" s="625" customFormat="1" ht="15" thickBot="1">
      <c r="B24" s="640"/>
      <c r="C24" s="631" t="s">
        <v>3283</v>
      </c>
      <c r="D24" s="632" t="s">
        <v>3280</v>
      </c>
      <c r="E24" s="633">
        <f t="shared" si="1"/>
        <v>11.68013</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287.86020807794051</v>
      </c>
      <c r="F31" s="643">
        <f>SQRT((SQRT($E$19^2+$E$20^2)+SQRT(($E$27+$E$28*COS($P$31*PI()/180))^2+$E$28^2*SIN($P$31*PI()/180)^2))^2+($E$21+$E$26)^2)</f>
        <v>0.27974752971617156</v>
      </c>
      <c r="H31" s="646" t="s">
        <v>2365</v>
      </c>
      <c r="I31" s="646" t="s">
        <v>19</v>
      </c>
      <c r="N31" s="652" t="s">
        <v>20</v>
      </c>
      <c r="O31" s="641"/>
      <c r="P31" s="633">
        <v>90</v>
      </c>
    </row>
    <row r="32" spans="2:27" s="625" customFormat="1" ht="14.25">
      <c r="B32" s="650" t="s">
        <v>21</v>
      </c>
      <c r="C32" s="649" t="s">
        <v>1618</v>
      </c>
      <c r="D32" s="643" t="s">
        <v>22</v>
      </c>
      <c r="E32" s="651">
        <f>$E$18*9.8*F32</f>
        <v>287.86020807794051</v>
      </c>
      <c r="F32" s="643">
        <f>SQRT((SQRT($E$19^2+$E$20^2)+$E$28*SIN($P$31*PI()/180))^2+($E$21+$E$26)^2)</f>
        <v>0.27974752971617156</v>
      </c>
      <c r="H32" s="646" t="s">
        <v>2366</v>
      </c>
      <c r="I32" s="646" t="s">
        <v>2162</v>
      </c>
      <c r="N32" s="646" t="s">
        <v>2163</v>
      </c>
    </row>
    <row r="33" spans="1:28" s="625" customFormat="1">
      <c r="B33" s="653"/>
      <c r="C33" s="649" t="s">
        <v>270</v>
      </c>
      <c r="D33" s="643" t="s">
        <v>2164</v>
      </c>
      <c r="E33" s="651">
        <f>$E$18*9.8*F33</f>
        <v>72.601019678253294</v>
      </c>
      <c r="F33" s="643">
        <f>SQRT($E$19^2+$E$20^2)</f>
        <v>7.0554926801023612E-2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18.122600394664655</v>
      </c>
      <c r="F36" s="643">
        <f>$E$18*$F31^2+MAX($E$22:$E$24)</f>
        <v>19.89729144014153</v>
      </c>
      <c r="G36" s="654" t="s">
        <v>2181</v>
      </c>
      <c r="H36" s="655">
        <f>$J$43</f>
        <v>18.121788158390665</v>
      </c>
      <c r="I36" s="655">
        <f>$J$89</f>
        <v>18.122600394664655</v>
      </c>
      <c r="J36" s="643">
        <f>$N$89</f>
        <v>75.294836798059137</v>
      </c>
      <c r="K36" s="643">
        <f>$B$89</f>
        <v>89.355566552600351</v>
      </c>
    </row>
    <row r="37" spans="1:28" s="625" customFormat="1" ht="14.25">
      <c r="B37" s="650" t="s">
        <v>2182</v>
      </c>
      <c r="C37" s="649" t="s">
        <v>1618</v>
      </c>
      <c r="D37" s="643" t="s">
        <v>2180</v>
      </c>
      <c r="E37" s="651">
        <f>MAX(H37:I37)</f>
        <v>17.731317622258498</v>
      </c>
      <c r="F37" s="643">
        <f>$E$18*$F32^2+MAX($E$22:$E$23)</f>
        <v>18.029423440141528</v>
      </c>
      <c r="G37" s="655">
        <f>IF(E28=0,SQRT((E18*E19^2-E18*E20^2-E22+E23)^2/4+(E18*E19*E20)^2)+(E18*E19^2+E18*E20^2+E22+E23)/2+E18*(E21+E26)^2,"---")</f>
        <v>17.731317622258501</v>
      </c>
      <c r="H37" s="655">
        <f>$K$44</f>
        <v>17.721508577780874</v>
      </c>
      <c r="I37" s="655">
        <f>$K$90</f>
        <v>17.731317622258498</v>
      </c>
      <c r="J37" s="654" t="s">
        <v>2181</v>
      </c>
      <c r="K37" s="654">
        <f>$B$90</f>
        <v>2.1843979647996816</v>
      </c>
    </row>
    <row r="38" spans="1:28" s="625" customFormat="1">
      <c r="B38" s="653"/>
      <c r="C38" s="649" t="s">
        <v>270</v>
      </c>
      <c r="D38" s="643" t="s">
        <v>2180</v>
      </c>
      <c r="E38" s="651">
        <f>G38</f>
        <v>12.202819758069269</v>
      </c>
      <c r="F38" s="643">
        <f>$E$18*$F33^2+$E$24</f>
        <v>12.202819758069269</v>
      </c>
      <c r="G38" s="655">
        <f>$E$18*($E$19^2+$E$20^2)+$E$24</f>
        <v>12.202819758069269</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18.121788158390665</v>
      </c>
    </row>
    <row r="44" spans="1:28" s="625" customFormat="1" ht="14.25">
      <c r="B44" s="629" t="s">
        <v>2905</v>
      </c>
      <c r="I44" s="658" t="s">
        <v>2906</v>
      </c>
      <c r="J44" s="643">
        <f>MAX(J46:J70)</f>
        <v>18.121788158390665</v>
      </c>
      <c r="K44" s="643">
        <f>MAX(K46:K70)</f>
        <v>17.721508577780874</v>
      </c>
      <c r="L44" s="659">
        <f>MAX(L46:L70)</f>
        <v>17.721508577780874</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4.5226929999999999E-2</v>
      </c>
      <c r="D46" s="643">
        <f t="shared" ref="D46:D70" si="3">$E$19*SIN(B46*PI()/180)+$E$20*COS(B46*PI()/180)</f>
        <v>-5.4152770000000003E-2</v>
      </c>
      <c r="E46" s="643">
        <f t="shared" ref="E46:E70" si="4">$E$22*COS(B46*PI()/180)^2+$E$23*SIN(B46*PI()/180)^2</f>
        <v>2.9869509999999999</v>
      </c>
      <c r="F46" s="643">
        <f t="shared" ref="F46:F70" si="5">$E$22*SIN(B46*PI()/180)^2+$E$23*COS(B46*PI()/180)^2</f>
        <v>9.8122620000000005</v>
      </c>
      <c r="G46" s="643">
        <f t="shared" ref="G46:G70" si="6">($E$18*(C46+$E$28)^2-$E$18*($E$21+$E$26)^2+$E$24-E46)/2</f>
        <v>0.60674110681817628</v>
      </c>
      <c r="H46" s="643">
        <f t="shared" ref="H46:H70" si="7">$E$18*(C46+$E$28)*($E$21+$E$26)</f>
        <v>1.2855268776069824</v>
      </c>
      <c r="I46" s="643">
        <f t="shared" ref="I46:I70" si="8">$E$18*((C46+$E$28)^2+($E$21+$E$26)^2)/2+$E$18*(D46+$E$27)^2+($E$24+E46)/2</f>
        <v>11.596078651251091</v>
      </c>
      <c r="J46" s="643">
        <f>SQRT(G46^2+H46^2)+I46</f>
        <v>13.017596897265859</v>
      </c>
      <c r="K46" s="643">
        <f t="shared" ref="K46:K70" si="9">$E$18*((C46+$E$28)^2+($E$21+$E$26)^2)+F46</f>
        <v>17.721508577780874</v>
      </c>
      <c r="L46" s="670">
        <f t="shared" ref="L46:L70" si="10">$E$18*((D46+$E$28)^2+($E$21+$E$26)^2)+E46</f>
        <v>10.989337544432916</v>
      </c>
      <c r="M46" s="671"/>
      <c r="N46" s="638">
        <f>O53*180/PI()-INT(O53*180/PI()/360)*360</f>
        <v>2.1843979647996816</v>
      </c>
      <c r="O46" s="643">
        <f>INDEX($B46:$B72,MATCH(K44,K46:K70,0))</f>
        <v>0</v>
      </c>
      <c r="P46" s="643">
        <f>($E$18*$E$19^2-$E$18*$E$20^2+$E$23-$E$22)/2</f>
        <v>3.3660855166739809</v>
      </c>
      <c r="Q46" s="643">
        <f>-$E$18*$E$19*$E$20</f>
        <v>0.25716217150009052</v>
      </c>
      <c r="R46" s="672" t="s">
        <v>1320</v>
      </c>
      <c r="T46" s="673"/>
      <c r="U46" s="674" t="s">
        <v>1321</v>
      </c>
      <c r="V46" s="675"/>
      <c r="W46" s="675"/>
      <c r="X46" s="675"/>
      <c r="Y46" s="675"/>
      <c r="Z46" s="675"/>
      <c r="AA46" s="675"/>
      <c r="AB46" s="676"/>
    </row>
    <row r="47" spans="1:28" s="625" customFormat="1">
      <c r="A47" s="643">
        <f>A46+1</f>
        <v>1</v>
      </c>
      <c r="B47" s="643">
        <f>B46+15</f>
        <v>15</v>
      </c>
      <c r="C47" s="643">
        <f t="shared" si="2"/>
        <v>5.7701627951824284E-2</v>
      </c>
      <c r="D47" s="643">
        <f t="shared" si="3"/>
        <v>-4.0601968272573327E-2</v>
      </c>
      <c r="E47" s="643">
        <f t="shared" si="4"/>
        <v>3.4441601426353148</v>
      </c>
      <c r="F47" s="643">
        <f t="shared" si="5"/>
        <v>9.3550528573646865</v>
      </c>
      <c r="G47" s="643">
        <f t="shared" si="6"/>
        <v>0.44554667573147611</v>
      </c>
      <c r="H47" s="643">
        <f t="shared" si="7"/>
        <v>1.640106759705964</v>
      </c>
      <c r="I47" s="643">
        <f t="shared" si="8"/>
        <v>11.757273082337793</v>
      </c>
      <c r="J47" s="643">
        <f t="shared" ref="J47:J70" si="11">SQRT(G47^2+H47^2)+I47</f>
        <v>13.456820676107549</v>
      </c>
      <c r="K47" s="643">
        <f t="shared" si="9"/>
        <v>17.399119715607476</v>
      </c>
      <c r="L47" s="670">
        <f t="shared" si="10"/>
        <v>11.311726406606317</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6.6244055315180544E-2</v>
      </c>
      <c r="D48" s="643">
        <f t="shared" si="3"/>
        <v>-2.4284209505295844E-2</v>
      </c>
      <c r="E48" s="643">
        <f t="shared" si="4"/>
        <v>4.6932787499999993</v>
      </c>
      <c r="F48" s="643">
        <f t="shared" si="5"/>
        <v>8.1059342500000007</v>
      </c>
      <c r="G48" s="643">
        <f t="shared" si="6"/>
        <v>-0.12342578564459394</v>
      </c>
      <c r="H48" s="643">
        <f t="shared" si="7"/>
        <v>1.8829160765355568</v>
      </c>
      <c r="I48" s="643">
        <f t="shared" si="8"/>
        <v>12.326245543713863</v>
      </c>
      <c r="J48" s="643">
        <f t="shared" si="11"/>
        <v>14.213202585047354</v>
      </c>
      <c r="K48" s="643">
        <f t="shared" si="9"/>
        <v>16.261174792855336</v>
      </c>
      <c r="L48" s="670">
        <f t="shared" si="10"/>
        <v>12.449671329358456</v>
      </c>
      <c r="M48" s="671"/>
      <c r="N48" s="643">
        <v>1</v>
      </c>
      <c r="O48" s="643">
        <f>O46*PI()/180</f>
        <v>0</v>
      </c>
      <c r="P48" s="643">
        <f t="shared" ref="P48:P53" si="14">-2*$P$46*SIN(2*O48)+2*$Q$46*COS(2*O48)+2*$E$18*$E$28*(-$E$19*SIN(O48)-$E$20*COS(O48))</f>
        <v>0.51432434300018104</v>
      </c>
      <c r="Q48" s="643">
        <f t="shared" ref="Q48:Q53" si="15">-4*$P$46*COS(2*O48)-4*$Q$46*SIN(2*O48)+2*$E$18*$E$28*(-$E$19*COS(O48)+$E$20*SIN(O48))</f>
        <v>-13.464342066695924</v>
      </c>
      <c r="R48" s="643">
        <f t="shared" ref="R48:R53" si="16">IF(Q48=0,O48,O48-P48/Q48)</f>
        <v>3.819899557308213E-2</v>
      </c>
      <c r="T48" s="673"/>
      <c r="U48" s="674" t="s">
        <v>2383</v>
      </c>
      <c r="V48" s="675"/>
      <c r="W48" s="675"/>
      <c r="X48" s="675"/>
      <c r="Y48" s="675"/>
      <c r="Z48" s="675"/>
      <c r="AA48" s="675"/>
      <c r="AB48" s="676"/>
    </row>
    <row r="49" spans="1:28" s="625" customFormat="1">
      <c r="A49" s="643">
        <f t="shared" si="12"/>
        <v>3</v>
      </c>
      <c r="B49" s="643">
        <f t="shared" si="13"/>
        <v>45</v>
      </c>
      <c r="C49" s="643">
        <f t="shared" si="2"/>
        <v>7.0272059782284735E-2</v>
      </c>
      <c r="D49" s="643">
        <f t="shared" si="3"/>
        <v>-6.3115219917861398E-3</v>
      </c>
      <c r="E49" s="643">
        <f t="shared" si="4"/>
        <v>6.3996064999999991</v>
      </c>
      <c r="F49" s="643">
        <f t="shared" si="5"/>
        <v>6.3996065000000009</v>
      </c>
      <c r="G49" s="643">
        <f t="shared" si="6"/>
        <v>-0.94772056576876773</v>
      </c>
      <c r="H49" s="643">
        <f t="shared" si="7"/>
        <v>1.9974077744151923</v>
      </c>
      <c r="I49" s="643">
        <f t="shared" si="8"/>
        <v>13.150540323838037</v>
      </c>
      <c r="J49" s="643">
        <f t="shared" si="11"/>
        <v>15.361380003252926</v>
      </c>
      <c r="K49" s="643">
        <f t="shared" si="9"/>
        <v>14.612585232606987</v>
      </c>
      <c r="L49" s="670">
        <f t="shared" si="10"/>
        <v>14.098260889606804</v>
      </c>
      <c r="M49" s="671"/>
      <c r="N49" s="643">
        <f>N48+1</f>
        <v>2</v>
      </c>
      <c r="O49" s="643">
        <f>R48</f>
        <v>3.819899557308213E-2</v>
      </c>
      <c r="P49" s="643">
        <f t="shared" si="14"/>
        <v>-1.0000603290215571E-3</v>
      </c>
      <c r="Q49" s="643">
        <f t="shared" si="15"/>
        <v>-13.503578096479654</v>
      </c>
      <c r="R49" s="643">
        <f t="shared" si="16"/>
        <v>3.8124936659076049E-2</v>
      </c>
      <c r="T49" s="673"/>
      <c r="U49" s="674" t="s">
        <v>2384</v>
      </c>
      <c r="V49" s="675"/>
      <c r="W49" s="675"/>
      <c r="X49" s="675" t="s">
        <v>2385</v>
      </c>
      <c r="Y49" s="675"/>
      <c r="Z49" s="675"/>
      <c r="AA49" s="675"/>
      <c r="AB49" s="676"/>
    </row>
    <row r="50" spans="1:28" s="625" customFormat="1">
      <c r="A50" s="643">
        <f t="shared" si="12"/>
        <v>4</v>
      </c>
      <c r="B50" s="643">
        <f t="shared" si="13"/>
        <v>60</v>
      </c>
      <c r="C50" s="643">
        <f t="shared" si="2"/>
        <v>6.9511139505295833E-2</v>
      </c>
      <c r="D50" s="643">
        <f t="shared" si="3"/>
        <v>1.2091285315180528E-2</v>
      </c>
      <c r="E50" s="643">
        <f t="shared" si="4"/>
        <v>8.1059342500000007</v>
      </c>
      <c r="F50" s="643">
        <f t="shared" si="5"/>
        <v>4.6932787500000011</v>
      </c>
      <c r="G50" s="643">
        <f t="shared" si="6"/>
        <v>-1.8064685439815844</v>
      </c>
      <c r="H50" s="643">
        <f t="shared" si="7"/>
        <v>1.9757794333408505</v>
      </c>
      <c r="I50" s="643">
        <f t="shared" si="8"/>
        <v>14.009288302050855</v>
      </c>
      <c r="J50" s="643">
        <f t="shared" si="11"/>
        <v>16.686419783619819</v>
      </c>
      <c r="K50" s="643">
        <f t="shared" si="9"/>
        <v>12.895089276181356</v>
      </c>
      <c r="L50" s="670">
        <f t="shared" si="10"/>
        <v>15.815756846032437</v>
      </c>
      <c r="M50" s="671"/>
      <c r="N50" s="643">
        <f>N49+1</f>
        <v>3</v>
      </c>
      <c r="O50" s="643">
        <f>R49</f>
        <v>3.8124936659076049E-2</v>
      </c>
      <c r="P50" s="643">
        <f t="shared" si="14"/>
        <v>7.3133721301132937E-12</v>
      </c>
      <c r="Q50" s="643">
        <f t="shared" si="15"/>
        <v>-13.503578244606416</v>
      </c>
      <c r="R50" s="643">
        <f t="shared" si="16"/>
        <v>3.8124936659617636E-2</v>
      </c>
      <c r="T50" s="673"/>
      <c r="U50" s="674" t="s">
        <v>2386</v>
      </c>
      <c r="V50" s="675"/>
      <c r="W50" s="675"/>
      <c r="X50" s="675"/>
      <c r="Y50" s="675"/>
      <c r="Z50" s="675" t="s">
        <v>2387</v>
      </c>
      <c r="AA50" s="675"/>
      <c r="AB50" s="676"/>
    </row>
    <row r="51" spans="1:28" s="625" customFormat="1">
      <c r="A51" s="643">
        <f t="shared" si="12"/>
        <v>5</v>
      </c>
      <c r="B51" s="643">
        <f t="shared" si="13"/>
        <v>75</v>
      </c>
      <c r="C51" s="643">
        <f t="shared" si="2"/>
        <v>6.4013149943610417E-2</v>
      </c>
      <c r="D51" s="643">
        <f t="shared" si="3"/>
        <v>2.9670091509711415E-2</v>
      </c>
      <c r="E51" s="643">
        <f t="shared" si="4"/>
        <v>9.3550528573646865</v>
      </c>
      <c r="F51" s="643">
        <f t="shared" si="5"/>
        <v>3.4441601426353148</v>
      </c>
      <c r="G51" s="643">
        <f t="shared" si="6"/>
        <v>-2.4695688930190589</v>
      </c>
      <c r="H51" s="643">
        <f t="shared" si="7"/>
        <v>1.8195049890142241</v>
      </c>
      <c r="I51" s="643">
        <f t="shared" si="8"/>
        <v>14.67238865108833</v>
      </c>
      <c r="J51" s="643">
        <f t="shared" si="11"/>
        <v>17.73985811669268</v>
      </c>
      <c r="K51" s="643">
        <f t="shared" si="9"/>
        <v>11.568888578106408</v>
      </c>
      <c r="L51" s="670">
        <f t="shared" si="10"/>
        <v>17.141957544107385</v>
      </c>
      <c r="M51" s="671"/>
      <c r="N51" s="643">
        <f>N50+1</f>
        <v>4</v>
      </c>
      <c r="O51" s="643">
        <f>R50</f>
        <v>3.8124936659617636E-2</v>
      </c>
      <c r="P51" s="643">
        <f t="shared" si="14"/>
        <v>0</v>
      </c>
      <c r="Q51" s="643">
        <f t="shared" si="15"/>
        <v>-13.503578244606416</v>
      </c>
      <c r="R51" s="643">
        <f t="shared" si="16"/>
        <v>3.8124936659617636E-2</v>
      </c>
      <c r="T51" s="679"/>
      <c r="U51" s="680" t="s">
        <v>2388</v>
      </c>
      <c r="V51" s="681"/>
      <c r="W51" s="681"/>
      <c r="X51" s="681"/>
      <c r="Y51" s="681"/>
      <c r="Z51" s="681"/>
      <c r="AA51" s="681"/>
      <c r="AB51" s="682"/>
    </row>
    <row r="52" spans="1:28" s="625" customFormat="1">
      <c r="A52" s="643">
        <f t="shared" si="12"/>
        <v>6</v>
      </c>
      <c r="B52" s="643">
        <f t="shared" si="13"/>
        <v>90</v>
      </c>
      <c r="C52" s="643">
        <f t="shared" si="2"/>
        <v>5.4152770000000003E-2</v>
      </c>
      <c r="D52" s="643">
        <f t="shared" si="3"/>
        <v>4.5226929999999999E-2</v>
      </c>
      <c r="E52" s="643">
        <f t="shared" si="4"/>
        <v>9.8122620000000005</v>
      </c>
      <c r="F52" s="643">
        <f t="shared" si="5"/>
        <v>2.9869509999999999</v>
      </c>
      <c r="G52" s="643">
        <f t="shared" si="6"/>
        <v>-2.759344409855804</v>
      </c>
      <c r="H52" s="643">
        <f t="shared" si="7"/>
        <v>1.5392342865604425</v>
      </c>
      <c r="I52" s="643">
        <f t="shared" si="8"/>
        <v>14.962164167925074</v>
      </c>
      <c r="J52" s="643">
        <f t="shared" si="11"/>
        <v>18.121788158390665</v>
      </c>
      <c r="K52" s="643">
        <f t="shared" si="9"/>
        <v>10.989337544432916</v>
      </c>
      <c r="L52" s="670">
        <f t="shared" si="10"/>
        <v>17.721508577780874</v>
      </c>
      <c r="M52" s="671"/>
      <c r="N52" s="643">
        <f>N51+1</f>
        <v>5</v>
      </c>
      <c r="O52" s="643">
        <f>R51</f>
        <v>3.8124936659617636E-2</v>
      </c>
      <c r="P52" s="643">
        <f t="shared" si="14"/>
        <v>0</v>
      </c>
      <c r="Q52" s="643">
        <f t="shared" si="15"/>
        <v>-13.503578244606416</v>
      </c>
      <c r="R52" s="643">
        <f t="shared" si="16"/>
        <v>3.8124936659617636E-2</v>
      </c>
      <c r="T52" s="666" t="s">
        <v>2055</v>
      </c>
      <c r="U52" s="667" t="s">
        <v>2056</v>
      </c>
      <c r="V52" s="668"/>
      <c r="W52" s="668"/>
      <c r="X52" s="668"/>
      <c r="Y52" s="668"/>
      <c r="Z52" s="668"/>
      <c r="AA52" s="668"/>
      <c r="AB52" s="669"/>
    </row>
    <row r="53" spans="1:28" s="625" customFormat="1">
      <c r="A53" s="643">
        <f t="shared" si="12"/>
        <v>7</v>
      </c>
      <c r="B53" s="643">
        <f t="shared" si="13"/>
        <v>105</v>
      </c>
      <c r="C53" s="643">
        <f t="shared" si="2"/>
        <v>4.060196827257332E-2</v>
      </c>
      <c r="D53" s="643">
        <f t="shared" si="3"/>
        <v>5.7701627951824291E-2</v>
      </c>
      <c r="E53" s="643">
        <f t="shared" si="4"/>
        <v>9.3550528573646865</v>
      </c>
      <c r="F53" s="643">
        <f t="shared" si="5"/>
        <v>3.4441601426353152</v>
      </c>
      <c r="G53" s="643">
        <f t="shared" si="6"/>
        <v>-2.5981499787691038</v>
      </c>
      <c r="H53" s="643">
        <f t="shared" si="7"/>
        <v>1.1540673111824955</v>
      </c>
      <c r="I53" s="643">
        <f t="shared" si="8"/>
        <v>14.800969736838375</v>
      </c>
      <c r="J53" s="643">
        <f t="shared" si="11"/>
        <v>17.643900385116289</v>
      </c>
      <c r="K53" s="643">
        <f t="shared" si="9"/>
        <v>11.311726406606319</v>
      </c>
      <c r="L53" s="670">
        <f t="shared" si="10"/>
        <v>17.399119715607476</v>
      </c>
      <c r="M53" s="671"/>
      <c r="N53" s="643">
        <f>N52+1</f>
        <v>6</v>
      </c>
      <c r="O53" s="643">
        <f>R52</f>
        <v>3.8124936659617636E-2</v>
      </c>
      <c r="P53" s="643">
        <f t="shared" si="14"/>
        <v>0</v>
      </c>
      <c r="Q53" s="643">
        <f t="shared" si="15"/>
        <v>-13.503578244606416</v>
      </c>
      <c r="R53" s="643">
        <f t="shared" si="16"/>
        <v>3.8124936659617636E-2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2.4284209505295851E-2</v>
      </c>
      <c r="D54" s="643">
        <f t="shared" si="3"/>
        <v>6.6244055315180531E-2</v>
      </c>
      <c r="E54" s="643">
        <f t="shared" si="4"/>
        <v>8.1059342500000007</v>
      </c>
      <c r="F54" s="643">
        <f t="shared" si="5"/>
        <v>4.6932787499999975</v>
      </c>
      <c r="G54" s="643">
        <f t="shared" si="6"/>
        <v>-2.0291775173930335</v>
      </c>
      <c r="H54" s="643">
        <f t="shared" si="7"/>
        <v>0.69025255573386868</v>
      </c>
      <c r="I54" s="643">
        <f t="shared" si="8"/>
        <v>14.231997275462303</v>
      </c>
      <c r="J54" s="643">
        <f t="shared" si="11"/>
        <v>16.375361450722888</v>
      </c>
      <c r="K54" s="643">
        <f t="shared" si="9"/>
        <v>12.449671329358456</v>
      </c>
      <c r="L54" s="670">
        <f t="shared" si="10"/>
        <v>16.261174792855336</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6.3115219917861398E-3</v>
      </c>
      <c r="D55" s="643">
        <f t="shared" si="3"/>
        <v>7.0272059782284735E-2</v>
      </c>
      <c r="E55" s="643">
        <f t="shared" si="4"/>
        <v>6.3996065000000009</v>
      </c>
      <c r="F55" s="643">
        <f t="shared" si="5"/>
        <v>6.3996064999999991</v>
      </c>
      <c r="G55" s="643">
        <f t="shared" si="6"/>
        <v>-1.2048827372688593</v>
      </c>
      <c r="H55" s="643">
        <f t="shared" si="7"/>
        <v>0.17939822930826035</v>
      </c>
      <c r="I55" s="643">
        <f t="shared" si="8"/>
        <v>13.407702495338128</v>
      </c>
      <c r="J55" s="643">
        <f t="shared" si="11"/>
        <v>14.625867564303512</v>
      </c>
      <c r="K55" s="643">
        <f t="shared" si="9"/>
        <v>14.098260889606804</v>
      </c>
      <c r="L55" s="670">
        <f t="shared" si="10"/>
        <v>14.612585232606987</v>
      </c>
      <c r="M55" s="671"/>
      <c r="T55" s="673"/>
      <c r="U55" s="674" t="s">
        <v>2062</v>
      </c>
      <c r="V55" s="675"/>
      <c r="W55" s="675"/>
      <c r="X55" s="675"/>
      <c r="Y55" s="675"/>
      <c r="Z55" s="675"/>
      <c r="AA55" s="675"/>
      <c r="AB55" s="676"/>
    </row>
    <row r="56" spans="1:28" s="625" customFormat="1">
      <c r="A56" s="643">
        <f t="shared" si="12"/>
        <v>10</v>
      </c>
      <c r="B56" s="643">
        <f t="shared" si="13"/>
        <v>150</v>
      </c>
      <c r="C56" s="643">
        <f t="shared" si="2"/>
        <v>-1.2091285315180545E-2</v>
      </c>
      <c r="D56" s="643">
        <f t="shared" si="3"/>
        <v>6.9511139505295833E-2</v>
      </c>
      <c r="E56" s="643">
        <f t="shared" si="4"/>
        <v>4.6932787499999993</v>
      </c>
      <c r="F56" s="643">
        <f t="shared" si="5"/>
        <v>8.1059342500000007</v>
      </c>
      <c r="G56" s="643">
        <f t="shared" si="6"/>
        <v>-0.34613475905604263</v>
      </c>
      <c r="H56" s="643">
        <f t="shared" si="7"/>
        <v>-0.3436817899751145</v>
      </c>
      <c r="I56" s="643">
        <f t="shared" si="8"/>
        <v>12.548954517125312</v>
      </c>
      <c r="J56" s="643">
        <f>SQRT(G56^2+H56^2)+I56</f>
        <v>13.036731560647537</v>
      </c>
      <c r="K56" s="643">
        <f t="shared" si="9"/>
        <v>15.815756846032437</v>
      </c>
      <c r="L56" s="670">
        <f t="shared" si="10"/>
        <v>12.895089276181354</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-2.9670091509711394E-2</v>
      </c>
      <c r="D57" s="643">
        <f t="shared" si="3"/>
        <v>6.4013149943610431E-2</v>
      </c>
      <c r="E57" s="643">
        <f t="shared" si="4"/>
        <v>3.4441601426353152</v>
      </c>
      <c r="F57" s="643">
        <f t="shared" si="5"/>
        <v>9.3550528573646847</v>
      </c>
      <c r="G57" s="643">
        <f t="shared" si="6"/>
        <v>0.31696558998143054</v>
      </c>
      <c r="H57" s="643">
        <f t="shared" si="7"/>
        <v>-0.84334046323269618</v>
      </c>
      <c r="I57" s="643">
        <f t="shared" si="8"/>
        <v>11.885854168087839</v>
      </c>
      <c r="J57" s="643">
        <f t="shared" si="11"/>
        <v>12.786792746547999</v>
      </c>
      <c r="K57" s="643">
        <f t="shared" si="9"/>
        <v>17.141957544107385</v>
      </c>
      <c r="L57" s="670">
        <f t="shared" si="10"/>
        <v>11.568888578106408</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-4.5226929999999992E-2</v>
      </c>
      <c r="D58" s="643">
        <f t="shared" si="3"/>
        <v>5.415277000000001E-2</v>
      </c>
      <c r="E58" s="643">
        <f t="shared" si="4"/>
        <v>2.9869509999999999</v>
      </c>
      <c r="F58" s="643">
        <f t="shared" si="5"/>
        <v>9.8122620000000005</v>
      </c>
      <c r="G58" s="643">
        <f t="shared" si="6"/>
        <v>0.60674110681817628</v>
      </c>
      <c r="H58" s="643">
        <f t="shared" si="7"/>
        <v>-1.2855268776069821</v>
      </c>
      <c r="I58" s="643">
        <f t="shared" si="8"/>
        <v>11.596078651251091</v>
      </c>
      <c r="J58" s="643">
        <f t="shared" si="11"/>
        <v>13.017596897265859</v>
      </c>
      <c r="K58" s="643">
        <f t="shared" si="9"/>
        <v>17.721508577780874</v>
      </c>
      <c r="L58" s="670">
        <f t="shared" si="10"/>
        <v>10.989337544432916</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-5.7701627951824271E-2</v>
      </c>
      <c r="D59" s="643">
        <f t="shared" si="3"/>
        <v>4.0601968272573348E-2</v>
      </c>
      <c r="E59" s="643">
        <f t="shared" si="4"/>
        <v>3.4441601426353134</v>
      </c>
      <c r="F59" s="643">
        <f t="shared" si="5"/>
        <v>9.3550528573646883</v>
      </c>
      <c r="G59" s="643">
        <f t="shared" si="6"/>
        <v>0.44554667573147677</v>
      </c>
      <c r="H59" s="643">
        <f t="shared" si="7"/>
        <v>-1.6401067597059635</v>
      </c>
      <c r="I59" s="643">
        <f t="shared" si="8"/>
        <v>11.757273082337793</v>
      </c>
      <c r="J59" s="643">
        <f t="shared" si="11"/>
        <v>13.456820676107549</v>
      </c>
      <c r="K59" s="643">
        <f t="shared" si="9"/>
        <v>17.399119715607476</v>
      </c>
      <c r="L59" s="670">
        <f t="shared" si="10"/>
        <v>11.311726406606315</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-6.6244055315180544E-2</v>
      </c>
      <c r="D60" s="643">
        <f t="shared" si="3"/>
        <v>2.4284209505295831E-2</v>
      </c>
      <c r="E60" s="643">
        <f t="shared" si="4"/>
        <v>4.6932787500000011</v>
      </c>
      <c r="F60" s="643">
        <f t="shared" si="5"/>
        <v>8.1059342500000007</v>
      </c>
      <c r="G60" s="643">
        <f t="shared" si="6"/>
        <v>-0.12342578564459483</v>
      </c>
      <c r="H60" s="643">
        <f t="shared" si="7"/>
        <v>-1.8829160765355568</v>
      </c>
      <c r="I60" s="643">
        <f t="shared" si="8"/>
        <v>12.326245543713863</v>
      </c>
      <c r="J60" s="643">
        <f t="shared" si="11"/>
        <v>14.213202585047354</v>
      </c>
      <c r="K60" s="643">
        <f t="shared" si="9"/>
        <v>16.261174792855336</v>
      </c>
      <c r="L60" s="670">
        <f t="shared" si="10"/>
        <v>12.449671329358459</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-7.0272059782284735E-2</v>
      </c>
      <c r="D61" s="643">
        <f t="shared" si="3"/>
        <v>6.3115219917861468E-3</v>
      </c>
      <c r="E61" s="643">
        <f t="shared" si="4"/>
        <v>6.3996065</v>
      </c>
      <c r="F61" s="643">
        <f t="shared" si="5"/>
        <v>6.3996065000000018</v>
      </c>
      <c r="G61" s="643">
        <f t="shared" si="6"/>
        <v>-0.94772056576876818</v>
      </c>
      <c r="H61" s="643">
        <f t="shared" si="7"/>
        <v>-1.9974077744151923</v>
      </c>
      <c r="I61" s="643">
        <f t="shared" si="8"/>
        <v>13.150540323838037</v>
      </c>
      <c r="J61" s="643">
        <f t="shared" si="11"/>
        <v>15.361380003252926</v>
      </c>
      <c r="K61" s="643">
        <f t="shared" si="9"/>
        <v>14.612585232606989</v>
      </c>
      <c r="L61" s="670">
        <f t="shared" si="10"/>
        <v>14.098260889606806</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-6.9511139505295846E-2</v>
      </c>
      <c r="D62" s="643">
        <f t="shared" si="3"/>
        <v>-1.2091285315180503E-2</v>
      </c>
      <c r="E62" s="643">
        <f t="shared" si="4"/>
        <v>8.1059342499999971</v>
      </c>
      <c r="F62" s="643">
        <f t="shared" si="5"/>
        <v>4.6932787500000028</v>
      </c>
      <c r="G62" s="643">
        <f t="shared" si="6"/>
        <v>-1.8064685439815826</v>
      </c>
      <c r="H62" s="643">
        <f t="shared" si="7"/>
        <v>-1.9757794333408509</v>
      </c>
      <c r="I62" s="643">
        <f t="shared" si="8"/>
        <v>14.009288302050852</v>
      </c>
      <c r="J62" s="643">
        <f t="shared" si="11"/>
        <v>16.686419783619815</v>
      </c>
      <c r="K62" s="643">
        <f t="shared" si="9"/>
        <v>12.895089276181357</v>
      </c>
      <c r="L62" s="670">
        <f t="shared" si="10"/>
        <v>15.815756846032434</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-6.4013149943610417E-2</v>
      </c>
      <c r="D63" s="643">
        <f t="shared" si="3"/>
        <v>-2.9670091509711422E-2</v>
      </c>
      <c r="E63" s="643">
        <f t="shared" si="4"/>
        <v>9.3550528573646865</v>
      </c>
      <c r="F63" s="643">
        <f t="shared" si="5"/>
        <v>3.4441601426353143</v>
      </c>
      <c r="G63" s="643">
        <f t="shared" si="6"/>
        <v>-2.4695688930190589</v>
      </c>
      <c r="H63" s="643">
        <f t="shared" si="7"/>
        <v>-1.8195049890142241</v>
      </c>
      <c r="I63" s="643">
        <f t="shared" si="8"/>
        <v>14.67238865108833</v>
      </c>
      <c r="J63" s="643">
        <f t="shared" si="11"/>
        <v>17.73985811669268</v>
      </c>
      <c r="K63" s="643">
        <f t="shared" si="9"/>
        <v>11.568888578106407</v>
      </c>
      <c r="L63" s="670">
        <f t="shared" si="10"/>
        <v>17.141957544107388</v>
      </c>
      <c r="M63" s="671"/>
      <c r="N63" s="638">
        <f>O70*180/PI()-INT(O70*180/PI()/360)*360</f>
        <v>89.355566552600351</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-5.415277000000001E-2</v>
      </c>
      <c r="D64" s="643">
        <f t="shared" si="3"/>
        <v>-4.5226929999999992E-2</v>
      </c>
      <c r="E64" s="643">
        <f t="shared" si="4"/>
        <v>9.8122620000000005</v>
      </c>
      <c r="F64" s="643">
        <f t="shared" si="5"/>
        <v>2.9869509999999999</v>
      </c>
      <c r="G64" s="643">
        <f t="shared" si="6"/>
        <v>-2.759344409855804</v>
      </c>
      <c r="H64" s="643">
        <f t="shared" si="7"/>
        <v>-1.5392342865604427</v>
      </c>
      <c r="I64" s="643">
        <f t="shared" si="8"/>
        <v>14.962164167925074</v>
      </c>
      <c r="J64" s="643">
        <f t="shared" si="11"/>
        <v>18.121788158390665</v>
      </c>
      <c r="K64" s="643">
        <f t="shared" si="9"/>
        <v>10.989337544432916</v>
      </c>
      <c r="L64" s="670">
        <f t="shared" si="10"/>
        <v>17.721508577780874</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-4.0601968272573299E-2</v>
      </c>
      <c r="D65" s="643">
        <f t="shared" si="3"/>
        <v>-5.7701627951824298E-2</v>
      </c>
      <c r="E65" s="643">
        <f t="shared" si="4"/>
        <v>9.3550528573646847</v>
      </c>
      <c r="F65" s="643">
        <f t="shared" si="5"/>
        <v>3.4441601426353161</v>
      </c>
      <c r="G65" s="643">
        <f t="shared" si="6"/>
        <v>-2.5981499787691034</v>
      </c>
      <c r="H65" s="643">
        <f t="shared" si="7"/>
        <v>-1.1540673111824951</v>
      </c>
      <c r="I65" s="643">
        <f t="shared" si="8"/>
        <v>14.800969736838372</v>
      </c>
      <c r="J65" s="643">
        <f t="shared" si="11"/>
        <v>17.643900385116286</v>
      </c>
      <c r="K65" s="643">
        <f t="shared" si="9"/>
        <v>11.311726406606319</v>
      </c>
      <c r="L65" s="670">
        <f t="shared" si="10"/>
        <v>17.399119715607476</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-2.759344409855804</v>
      </c>
      <c r="S65" s="643">
        <f t="shared" ref="S65:S70" si="20">$E$18*($E$19*Q65-$E$20*P65+$E$28)*(-$E$19*P65-$E$20*Q65)-($E$23-$E$22)*P65*Q65</f>
        <v>-0.25716217150009096</v>
      </c>
      <c r="T65" s="643">
        <f t="shared" ref="T65:T70" si="21">$E$18*(-$E$19*P65-$E$20*Q65)^2+$E$18*($E$19*Q65-$E$20*P65+$E$28)*(-$E$19*Q65+$E$20*P65)-($E$23-$E$22)*(Q65^2-P65^2)</f>
        <v>6.732171033347961</v>
      </c>
      <c r="U65" s="643">
        <f t="shared" ref="U65:U70" si="22">$E$18*($E$19*Q65-$E$20*P65+$E$28)*($E$21+$E$26)</f>
        <v>1.5392342865604425</v>
      </c>
      <c r="V65" s="643">
        <f t="shared" ref="V65:V70" si="23">$E$18*($E$21+$E$26)*(-$E$19*P65-$E$20*Q65)</f>
        <v>-1.2855268776069824</v>
      </c>
      <c r="W65" s="643">
        <f t="shared" ref="W65:W70" si="24">$E$18*($E$21+$E$26)*(-$E$19*Q65+$E$20*P65)</f>
        <v>-1.5392342865604425</v>
      </c>
      <c r="X65" s="643">
        <f t="shared" ref="X65:X70" si="25">S65+2*($E$23-$E$22)*P65*Q65+2*$E$18*($E$19*P65+$E$20*Q65+$E$27)*($E$19*Q65-$E$20*P65)</f>
        <v>0.25716217150009091</v>
      </c>
      <c r="Y65" s="643">
        <f t="shared" ref="Y65:Y70" si="26">T65+2*($E$23-$E$22)*(Q65^2-P65^2)+2*$E$18*($E$19*Q65-$E$20*P65)^2+2*$E$18*($E$19*P65+$E$20*Q65+$E$27)*(-$E$19*P65-$E$20*Q65)</f>
        <v>-6.732171033347961</v>
      </c>
      <c r="Z65" s="643">
        <f t="shared" ref="Z65:Z70" si="27">IF(OR(R65,U65),(R65^2+U65^2)^(-0.5)*(R65*S65+U65*V65)+X65,0)</f>
        <v>-0.14450842278017545</v>
      </c>
      <c r="AA65" s="643">
        <f t="shared" ref="AA65:AA70" si="28">IF(OR(R65,U65),(-1)*(R65^2+U65^2)^(-1.5)*(R65*S65+U65*V65)^2+(R65^2+U65^2)^(-0.5)*(S65^2+R65*T65+V65^2+U65*W65)+Y65,0)</f>
        <v>-12.8684227789036</v>
      </c>
      <c r="AB65" s="643">
        <f t="shared" ref="AB65:AB70" si="29">IF(AA65=0,O65,O65-Z65/AA65)</f>
        <v>1.5595666349155559</v>
      </c>
    </row>
    <row r="66" spans="1:28" s="625" customFormat="1">
      <c r="A66" s="643">
        <f t="shared" si="12"/>
        <v>20</v>
      </c>
      <c r="B66" s="643">
        <f t="shared" si="13"/>
        <v>300</v>
      </c>
      <c r="C66" s="643">
        <f t="shared" si="2"/>
        <v>-2.4284209505295831E-2</v>
      </c>
      <c r="D66" s="643">
        <f t="shared" si="3"/>
        <v>-6.6244055315180544E-2</v>
      </c>
      <c r="E66" s="643">
        <f t="shared" si="4"/>
        <v>8.1059342500000007</v>
      </c>
      <c r="F66" s="643">
        <f t="shared" si="5"/>
        <v>4.6932787500000011</v>
      </c>
      <c r="G66" s="643">
        <f t="shared" si="6"/>
        <v>-2.0291775173930335</v>
      </c>
      <c r="H66" s="643">
        <f t="shared" si="7"/>
        <v>-0.69025255573386801</v>
      </c>
      <c r="I66" s="643">
        <f t="shared" si="8"/>
        <v>14.231997275462303</v>
      </c>
      <c r="J66" s="643">
        <f t="shared" si="11"/>
        <v>16.375361450722888</v>
      </c>
      <c r="K66" s="643">
        <f t="shared" si="9"/>
        <v>12.449671329358459</v>
      </c>
      <c r="L66" s="670">
        <f t="shared" si="10"/>
        <v>16.261174792855336</v>
      </c>
      <c r="M66" s="671"/>
      <c r="N66" s="643">
        <f>N65+1</f>
        <v>2</v>
      </c>
      <c r="O66" s="643">
        <f>AB65</f>
        <v>1.5595666349155559</v>
      </c>
      <c r="P66" s="643">
        <f t="shared" si="17"/>
        <v>0.99993694767275798</v>
      </c>
      <c r="Q66" s="643">
        <f t="shared" si="18"/>
        <v>1.1229455858946183E-2</v>
      </c>
      <c r="R66" s="643">
        <f t="shared" si="19"/>
        <v>-2.7560323350154641</v>
      </c>
      <c r="S66" s="643">
        <f t="shared" si="20"/>
        <v>-0.33269116563635981</v>
      </c>
      <c r="T66" s="643">
        <f t="shared" si="21"/>
        <v>6.7189227339866013</v>
      </c>
      <c r="U66" s="643">
        <f t="shared" si="22"/>
        <v>1.5535730015840805</v>
      </c>
      <c r="V66" s="643">
        <f t="shared" si="23"/>
        <v>-1.26816105866811</v>
      </c>
      <c r="W66" s="643">
        <f t="shared" si="24"/>
        <v>-1.5535730015840805</v>
      </c>
      <c r="X66" s="643">
        <f t="shared" si="25"/>
        <v>0.33269116563635981</v>
      </c>
      <c r="Y66" s="643">
        <f t="shared" si="26"/>
        <v>-6.7189227339866013</v>
      </c>
      <c r="Z66" s="643">
        <f t="shared" si="27"/>
        <v>-2.282301604800141E-4</v>
      </c>
      <c r="AA66" s="643">
        <f t="shared" si="28"/>
        <v>-12.826575743874793</v>
      </c>
      <c r="AB66" s="643">
        <f t="shared" si="29"/>
        <v>1.5595488413777452</v>
      </c>
    </row>
    <row r="67" spans="1:28" s="625" customFormat="1">
      <c r="A67" s="643">
        <f t="shared" si="12"/>
        <v>21</v>
      </c>
      <c r="B67" s="643">
        <f t="shared" si="13"/>
        <v>315</v>
      </c>
      <c r="C67" s="643">
        <f t="shared" si="2"/>
        <v>-6.3115219917861537E-3</v>
      </c>
      <c r="D67" s="643">
        <f t="shared" si="3"/>
        <v>-7.0272059782284735E-2</v>
      </c>
      <c r="E67" s="643">
        <f t="shared" si="4"/>
        <v>6.3996065000000009</v>
      </c>
      <c r="F67" s="643">
        <f t="shared" si="5"/>
        <v>6.3996064999999991</v>
      </c>
      <c r="G67" s="643">
        <f t="shared" si="6"/>
        <v>-1.2048827372688593</v>
      </c>
      <c r="H67" s="643">
        <f t="shared" si="7"/>
        <v>-0.17939822930826074</v>
      </c>
      <c r="I67" s="643">
        <f t="shared" si="8"/>
        <v>13.407702495338128</v>
      </c>
      <c r="J67" s="643">
        <f t="shared" si="11"/>
        <v>14.625867564303512</v>
      </c>
      <c r="K67" s="643">
        <f t="shared" si="9"/>
        <v>14.098260889606804</v>
      </c>
      <c r="L67" s="670">
        <f t="shared" si="10"/>
        <v>14.612585232606987</v>
      </c>
      <c r="M67" s="671"/>
      <c r="N67" s="643">
        <f>N66+1</f>
        <v>3</v>
      </c>
      <c r="O67" s="643">
        <f>AB66</f>
        <v>1.5595488413777452</v>
      </c>
      <c r="P67" s="643">
        <f t="shared" si="17"/>
        <v>0.99993674770271557</v>
      </c>
      <c r="Q67" s="643">
        <f t="shared" si="18"/>
        <v>1.1247248273054324E-2</v>
      </c>
      <c r="R67" s="643">
        <f t="shared" si="19"/>
        <v>-2.756026414198991</v>
      </c>
      <c r="S67" s="643">
        <f t="shared" si="20"/>
        <v>-0.33281071883138247</v>
      </c>
      <c r="T67" s="643">
        <f t="shared" si="21"/>
        <v>6.7188990507207107</v>
      </c>
      <c r="U67" s="643">
        <f t="shared" si="22"/>
        <v>1.5535955664098884</v>
      </c>
      <c r="V67" s="643">
        <f t="shared" si="23"/>
        <v>-1.2681334149074099</v>
      </c>
      <c r="W67" s="643">
        <f t="shared" si="24"/>
        <v>-1.5535955664098884</v>
      </c>
      <c r="X67" s="643">
        <f t="shared" si="25"/>
        <v>0.33281071883138247</v>
      </c>
      <c r="Y67" s="643">
        <f t="shared" si="26"/>
        <v>-6.7188990507207098</v>
      </c>
      <c r="Z67" s="643">
        <f t="shared" si="27"/>
        <v>-6.4068650384996317E-10</v>
      </c>
      <c r="AA67" s="643">
        <f t="shared" si="28"/>
        <v>-12.826503727381329</v>
      </c>
      <c r="AB67" s="643">
        <f t="shared" si="29"/>
        <v>1.5595488413277949</v>
      </c>
    </row>
    <row r="68" spans="1:28" s="625" customFormat="1">
      <c r="A68" s="643">
        <f t="shared" si="12"/>
        <v>22</v>
      </c>
      <c r="B68" s="643">
        <f t="shared" si="13"/>
        <v>330</v>
      </c>
      <c r="C68" s="643">
        <f t="shared" si="2"/>
        <v>1.2091285315180503E-2</v>
      </c>
      <c r="D68" s="643">
        <f t="shared" si="3"/>
        <v>-6.9511139505295846E-2</v>
      </c>
      <c r="E68" s="643">
        <f t="shared" si="4"/>
        <v>4.6932787500000028</v>
      </c>
      <c r="F68" s="643">
        <f t="shared" si="5"/>
        <v>8.1059342499999971</v>
      </c>
      <c r="G68" s="643">
        <f t="shared" si="6"/>
        <v>-0.34613475905604441</v>
      </c>
      <c r="H68" s="643">
        <f t="shared" si="7"/>
        <v>0.34368178997511328</v>
      </c>
      <c r="I68" s="643">
        <f t="shared" si="8"/>
        <v>12.548954517125313</v>
      </c>
      <c r="J68" s="643">
        <f t="shared" si="11"/>
        <v>13.03673156064754</v>
      </c>
      <c r="K68" s="643">
        <f t="shared" si="9"/>
        <v>15.815756846032434</v>
      </c>
      <c r="L68" s="670">
        <f t="shared" si="10"/>
        <v>12.895089276181357</v>
      </c>
      <c r="M68" s="671"/>
      <c r="N68" s="643">
        <f>N67+1</f>
        <v>4</v>
      </c>
      <c r="O68" s="643">
        <f>AB67</f>
        <v>1.5595488413277949</v>
      </c>
      <c r="P68" s="643">
        <f t="shared" si="17"/>
        <v>0.99993674770215379</v>
      </c>
      <c r="Q68" s="643">
        <f t="shared" si="18"/>
        <v>1.1247248323001431E-2</v>
      </c>
      <c r="R68" s="643">
        <f t="shared" si="19"/>
        <v>-2.7560264141823678</v>
      </c>
      <c r="S68" s="643">
        <f t="shared" si="20"/>
        <v>-0.33281071916699329</v>
      </c>
      <c r="T68" s="643">
        <f t="shared" si="21"/>
        <v>6.7188990506542163</v>
      </c>
      <c r="U68" s="643">
        <f t="shared" si="22"/>
        <v>1.5535955664732322</v>
      </c>
      <c r="V68" s="643">
        <f t="shared" si="23"/>
        <v>-1.2681334148298073</v>
      </c>
      <c r="W68" s="643">
        <f t="shared" si="24"/>
        <v>-1.5535955664732322</v>
      </c>
      <c r="X68" s="643">
        <f t="shared" si="25"/>
        <v>0.33281071916699323</v>
      </c>
      <c r="Y68" s="643">
        <f t="shared" si="26"/>
        <v>-6.7188990506542154</v>
      </c>
      <c r="Z68" s="643">
        <f t="shared" si="27"/>
        <v>8.3266726846886741E-16</v>
      </c>
      <c r="AA68" s="643">
        <f t="shared" si="28"/>
        <v>-12.826503727179141</v>
      </c>
      <c r="AB68" s="643">
        <f t="shared" si="29"/>
        <v>1.5595488413277949</v>
      </c>
    </row>
    <row r="69" spans="1:28" s="625" customFormat="1">
      <c r="A69" s="643">
        <f t="shared" si="12"/>
        <v>23</v>
      </c>
      <c r="B69" s="643">
        <f t="shared" si="13"/>
        <v>345</v>
      </c>
      <c r="C69" s="643">
        <f t="shared" si="2"/>
        <v>2.9670091509711422E-2</v>
      </c>
      <c r="D69" s="643">
        <f t="shared" si="3"/>
        <v>-6.4013149943610417E-2</v>
      </c>
      <c r="E69" s="643">
        <f t="shared" si="4"/>
        <v>3.4441601426353143</v>
      </c>
      <c r="F69" s="643">
        <f t="shared" si="5"/>
        <v>9.3550528573646865</v>
      </c>
      <c r="G69" s="643">
        <f t="shared" si="6"/>
        <v>0.31696558998143098</v>
      </c>
      <c r="H69" s="643">
        <f t="shared" si="7"/>
        <v>0.84334046323269707</v>
      </c>
      <c r="I69" s="643">
        <f t="shared" si="8"/>
        <v>11.885854168087839</v>
      </c>
      <c r="J69" s="643">
        <f t="shared" si="11"/>
        <v>12.786792746548</v>
      </c>
      <c r="K69" s="643">
        <f t="shared" si="9"/>
        <v>17.141957544107388</v>
      </c>
      <c r="L69" s="670">
        <f t="shared" si="10"/>
        <v>11.568888578106407</v>
      </c>
      <c r="M69" s="671"/>
      <c r="N69" s="643">
        <f>N68+1</f>
        <v>5</v>
      </c>
      <c r="O69" s="643">
        <f>AB68</f>
        <v>1.5595488413277949</v>
      </c>
      <c r="P69" s="643">
        <f t="shared" si="17"/>
        <v>0.99993674770215379</v>
      </c>
      <c r="Q69" s="643">
        <f t="shared" si="18"/>
        <v>1.1247248323001431E-2</v>
      </c>
      <c r="R69" s="643">
        <f t="shared" si="19"/>
        <v>-2.7560264141823678</v>
      </c>
      <c r="S69" s="643">
        <f t="shared" si="20"/>
        <v>-0.33281071916699329</v>
      </c>
      <c r="T69" s="643">
        <f t="shared" si="21"/>
        <v>6.7188990506542163</v>
      </c>
      <c r="U69" s="643">
        <f t="shared" si="22"/>
        <v>1.5535955664732322</v>
      </c>
      <c r="V69" s="643">
        <f t="shared" si="23"/>
        <v>-1.2681334148298073</v>
      </c>
      <c r="W69" s="643">
        <f t="shared" si="24"/>
        <v>-1.5535955664732322</v>
      </c>
      <c r="X69" s="643">
        <f t="shared" si="25"/>
        <v>0.33281071916699323</v>
      </c>
      <c r="Y69" s="643">
        <f t="shared" si="26"/>
        <v>-6.7188990506542154</v>
      </c>
      <c r="Z69" s="643">
        <f t="shared" si="27"/>
        <v>8.3266726846886741E-16</v>
      </c>
      <c r="AA69" s="643">
        <f t="shared" si="28"/>
        <v>-12.826503727179141</v>
      </c>
      <c r="AB69" s="643">
        <f t="shared" si="29"/>
        <v>1.5595488413277949</v>
      </c>
    </row>
    <row r="70" spans="1:28" s="625" customFormat="1">
      <c r="A70" s="643">
        <f t="shared" si="12"/>
        <v>24</v>
      </c>
      <c r="B70" s="643">
        <f t="shared" si="13"/>
        <v>360</v>
      </c>
      <c r="C70" s="643">
        <f t="shared" si="2"/>
        <v>4.5226929999999985E-2</v>
      </c>
      <c r="D70" s="643">
        <f t="shared" si="3"/>
        <v>-5.4152770000000017E-2</v>
      </c>
      <c r="E70" s="643">
        <f t="shared" si="4"/>
        <v>2.9869509999999999</v>
      </c>
      <c r="F70" s="643">
        <f t="shared" si="5"/>
        <v>9.8122620000000005</v>
      </c>
      <c r="G70" s="643">
        <f t="shared" si="6"/>
        <v>0.60674110681817628</v>
      </c>
      <c r="H70" s="643">
        <f t="shared" si="7"/>
        <v>1.2855268776069819</v>
      </c>
      <c r="I70" s="643">
        <f t="shared" si="8"/>
        <v>11.596078651251092</v>
      </c>
      <c r="J70" s="643">
        <f t="shared" si="11"/>
        <v>13.017596897265861</v>
      </c>
      <c r="K70" s="643">
        <f t="shared" si="9"/>
        <v>17.721508577780874</v>
      </c>
      <c r="L70" s="670">
        <f t="shared" si="10"/>
        <v>10.989337544432916</v>
      </c>
      <c r="M70" s="671"/>
      <c r="N70" s="643">
        <f>N69+1</f>
        <v>6</v>
      </c>
      <c r="O70" s="643">
        <f>AB69</f>
        <v>1.5595488413277949</v>
      </c>
      <c r="P70" s="643">
        <f t="shared" si="17"/>
        <v>0.99993674770215379</v>
      </c>
      <c r="Q70" s="643">
        <f t="shared" si="18"/>
        <v>1.1247248323001431E-2</v>
      </c>
      <c r="R70" s="643">
        <f t="shared" si="19"/>
        <v>-2.7560264141823678</v>
      </c>
      <c r="S70" s="643">
        <f t="shared" si="20"/>
        <v>-0.33281071916699329</v>
      </c>
      <c r="T70" s="643">
        <f t="shared" si="21"/>
        <v>6.7188990506542163</v>
      </c>
      <c r="U70" s="643">
        <f t="shared" si="22"/>
        <v>1.5535955664732322</v>
      </c>
      <c r="V70" s="643">
        <f t="shared" si="23"/>
        <v>-1.2681334148298073</v>
      </c>
      <c r="W70" s="643">
        <f t="shared" si="24"/>
        <v>-1.5535955664732322</v>
      </c>
      <c r="X70" s="643">
        <f t="shared" si="25"/>
        <v>0.33281071916699323</v>
      </c>
      <c r="Y70" s="643">
        <f t="shared" si="26"/>
        <v>-6.7188990506542154</v>
      </c>
      <c r="Z70" s="643">
        <f t="shared" si="27"/>
        <v>8.3266726846886741E-16</v>
      </c>
      <c r="AA70" s="643">
        <f t="shared" si="28"/>
        <v>-12.826503727179141</v>
      </c>
      <c r="AB70" s="643">
        <f t="shared" si="29"/>
        <v>1.5595488413277949</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6.2372609535386057E-2</v>
      </c>
      <c r="D73" s="643">
        <f t="shared" ref="D73:D85" si="32">$E$19*SIN(B73*PI()/180)+$E$20*COS(B73*PI()/180)</f>
        <v>3.2979619094890535E-2</v>
      </c>
      <c r="E73" s="643">
        <f t="shared" ref="E73:E85" si="33">$E$22*COS(B73*PI()/180)^2+$E$23*SIN(B73*PI()/180)^2</f>
        <v>9.517222430524038</v>
      </c>
      <c r="F73" s="643">
        <f t="shared" ref="F73:F85" si="34">$E$22*SIN(B73*PI()/180)^2+$E$23*COS(B73*PI()/180)^2</f>
        <v>3.2819905694759615</v>
      </c>
      <c r="G73" s="643">
        <f t="shared" ref="G73:G85" si="35">($E$18*(C73+$E$28)^2-$E$18*($E$21+$E$26)^2+$E$24-E73)/2</f>
        <v>-2.5615390792348292</v>
      </c>
      <c r="H73" s="643">
        <f t="shared" ref="H73:H85" si="36">$E$18*(C73+$E$28)*($E$21+$E$26)</f>
        <v>1.7728743910812503</v>
      </c>
      <c r="I73" s="643">
        <f t="shared" ref="I73:I85" si="37">$E$18*((C73+$E$28)^2+($E$21+$E$26)^2)/2+$E$18*(D73+$E$27)^2+($E$24+E73)/2</f>
        <v>14.764358837304098</v>
      </c>
      <c r="J73" s="643">
        <f>SQRT(G73^2+H73^2)+I73</f>
        <v>17.879574088454319</v>
      </c>
      <c r="K73" s="670">
        <f>IF(G73=0,0,IF((PI()/2-ATAN2(H73,G73))/2*180/PI()&gt;90,(PI()/2-ATAN2(H73,G73))/2*180/PI()-180,(PI()/2-ATAN2(H73,G73))/2*180/PI()))</f>
        <v>72.656194783008488</v>
      </c>
      <c r="L73" s="670">
        <f>IF(G73=0,0,SQRT(G73^2+H73^2)*SIN(2*K73*PI()/180+ATAN2(H73,G73))+I73)</f>
        <v>17.879574088454319</v>
      </c>
    </row>
    <row r="74" spans="1:28" s="625" customFormat="1">
      <c r="A74" s="643">
        <v>1</v>
      </c>
      <c r="B74" s="643">
        <f t="shared" si="30"/>
        <v>80</v>
      </c>
      <c r="C74" s="643">
        <f t="shared" si="31"/>
        <v>6.1183641719056742E-2</v>
      </c>
      <c r="D74" s="643">
        <f t="shared" si="32"/>
        <v>3.5136301482823998E-2</v>
      </c>
      <c r="E74" s="643">
        <f t="shared" si="33"/>
        <v>9.606453690634444</v>
      </c>
      <c r="F74" s="643">
        <f t="shared" si="34"/>
        <v>3.1927593093655555</v>
      </c>
      <c r="G74" s="643">
        <f t="shared" si="35"/>
        <v>-2.6138671906180431</v>
      </c>
      <c r="H74" s="643">
        <f t="shared" si="36"/>
        <v>1.7390792587452502</v>
      </c>
      <c r="I74" s="643">
        <f t="shared" si="37"/>
        <v>14.816686948687313</v>
      </c>
      <c r="J74" s="643">
        <f>SQRT(G74^2+H74^2)+I74</f>
        <v>17.956224869845041</v>
      </c>
      <c r="K74" s="670">
        <f t="shared" ref="K74:K85" si="38">IF(G74=0,0,IF((PI()/2-ATAN2(H74,G74))/2*180/PI()&gt;90,(PI()/2-ATAN2(H74,G74))/2*180/PI()-180,(PI()/2-ATAN2(H74,G74))/2*180/PI()))</f>
        <v>73.181530889821374</v>
      </c>
      <c r="L74" s="670">
        <f t="shared" ref="L74:L85" si="39">IF(G74=0,0,SQRT(G74^2+H74^2)*SIN(2*K74*PI()/180+ATAN2(H74,G74))+I74)</f>
        <v>17.956224869845041</v>
      </c>
    </row>
    <row r="75" spans="1:28" s="625" customFormat="1">
      <c r="A75" s="643">
        <f>A74+1</f>
        <v>2</v>
      </c>
      <c r="B75" s="643">
        <f t="shared" si="30"/>
        <v>82</v>
      </c>
      <c r="C75" s="643">
        <f t="shared" si="31"/>
        <v>5.9920131059910273E-2</v>
      </c>
      <c r="D75" s="643">
        <f t="shared" si="32"/>
        <v>3.7250175699732969E-2</v>
      </c>
      <c r="E75" s="643">
        <f t="shared" si="33"/>
        <v>9.6800615135832313</v>
      </c>
      <c r="F75" s="643">
        <f t="shared" si="34"/>
        <v>3.1191514864167686</v>
      </c>
      <c r="G75" s="643">
        <f t="shared" si="35"/>
        <v>-2.6587044372503135</v>
      </c>
      <c r="H75" s="643">
        <f t="shared" si="36"/>
        <v>1.7031653262170927</v>
      </c>
      <c r="I75" s="643">
        <f t="shared" si="37"/>
        <v>14.861524195319582</v>
      </c>
      <c r="J75" s="643">
        <f t="shared" ref="J75:J84" si="40">SQRT(G75^2+H75^2)+I75</f>
        <v>18.018972755958803</v>
      </c>
      <c r="K75" s="670">
        <f t="shared" si="38"/>
        <v>73.678193360597504</v>
      </c>
      <c r="L75" s="670">
        <f t="shared" si="39"/>
        <v>18.018972755958803</v>
      </c>
    </row>
    <row r="76" spans="1:28" s="625" customFormat="1">
      <c r="A76" s="643">
        <f t="shared" ref="A76:A84" si="41">A75+1</f>
        <v>3</v>
      </c>
      <c r="B76" s="643">
        <f t="shared" si="30"/>
        <v>84</v>
      </c>
      <c r="C76" s="643">
        <f t="shared" si="31"/>
        <v>5.8583616951055906E-2</v>
      </c>
      <c r="D76" s="643">
        <f t="shared" si="32"/>
        <v>3.931866631550153E-2</v>
      </c>
      <c r="E76" s="643">
        <f t="shared" si="33"/>
        <v>9.7376872894560247</v>
      </c>
      <c r="F76" s="643">
        <f t="shared" si="34"/>
        <v>3.0615257105439739</v>
      </c>
      <c r="G76" s="643">
        <f t="shared" si="35"/>
        <v>-2.6958323765730707</v>
      </c>
      <c r="H76" s="643">
        <f t="shared" si="36"/>
        <v>1.6651763490914457</v>
      </c>
      <c r="I76" s="643">
        <f t="shared" si="37"/>
        <v>14.89865213464234</v>
      </c>
      <c r="J76" s="643">
        <f t="shared" si="40"/>
        <v>18.067299239662578</v>
      </c>
      <c r="K76" s="670">
        <f t="shared" si="38"/>
        <v>74.14848971986865</v>
      </c>
      <c r="L76" s="670">
        <f t="shared" si="39"/>
        <v>18.067299239662578</v>
      </c>
    </row>
    <row r="77" spans="1:28" s="625" customFormat="1">
      <c r="A77" s="643">
        <f t="shared" si="41"/>
        <v>4</v>
      </c>
      <c r="B77" s="643">
        <f t="shared" si="30"/>
        <v>86</v>
      </c>
      <c r="C77" s="643">
        <f t="shared" si="31"/>
        <v>5.7175727729061106E-2</v>
      </c>
      <c r="D77" s="643">
        <f t="shared" si="32"/>
        <v>4.1339253192940885E-2</v>
      </c>
      <c r="E77" s="643">
        <f t="shared" si="33"/>
        <v>9.7790502712652962</v>
      </c>
      <c r="F77" s="643">
        <f t="shared" si="34"/>
        <v>3.0201627287347019</v>
      </c>
      <c r="G77" s="643">
        <f t="shared" si="35"/>
        <v>-2.7250701249980231</v>
      </c>
      <c r="H77" s="643">
        <f t="shared" si="36"/>
        <v>1.625158611085185</v>
      </c>
      <c r="I77" s="643">
        <f t="shared" si="37"/>
        <v>14.927889883067293</v>
      </c>
      <c r="J77" s="643">
        <f t="shared" si="40"/>
        <v>18.100766763335589</v>
      </c>
      <c r="K77" s="670">
        <f t="shared" si="38"/>
        <v>74.594642561797002</v>
      </c>
      <c r="L77" s="670">
        <f t="shared" si="39"/>
        <v>18.100766763335589</v>
      </c>
    </row>
    <row r="78" spans="1:28" s="625" customFormat="1">
      <c r="A78" s="643">
        <f t="shared" si="41"/>
        <v>5</v>
      </c>
      <c r="B78" s="643">
        <f t="shared" si="30"/>
        <v>88</v>
      </c>
      <c r="C78" s="643">
        <f t="shared" si="31"/>
        <v>5.5698178690074131E-2</v>
      </c>
      <c r="D78" s="643">
        <f t="shared" si="32"/>
        <v>4.3309474558188454E-2</v>
      </c>
      <c r="E78" s="643">
        <f t="shared" si="33"/>
        <v>9.8039489427214672</v>
      </c>
      <c r="F78" s="643">
        <f t="shared" si="34"/>
        <v>2.995264057278535</v>
      </c>
      <c r="G78" s="643">
        <f t="shared" si="35"/>
        <v>-2.7462752391538143</v>
      </c>
      <c r="H78" s="643">
        <f t="shared" si="36"/>
        <v>1.5831608676478097</v>
      </c>
      <c r="I78" s="643">
        <f t="shared" si="37"/>
        <v>14.949094997223083</v>
      </c>
      <c r="J78" s="643">
        <f t="shared" si="40"/>
        <v>18.119020236411021</v>
      </c>
      <c r="K78" s="670">
        <f t="shared" si="38"/>
        <v>75.018798610816162</v>
      </c>
      <c r="L78" s="670">
        <f t="shared" si="39"/>
        <v>18.119020236411021</v>
      </c>
    </row>
    <row r="79" spans="1:28" s="625" customFormat="1" ht="14.25">
      <c r="A79" s="695">
        <f t="shared" si="41"/>
        <v>6</v>
      </c>
      <c r="B79" s="695">
        <f>INDEX($B46:$B70,MATCH($J$44,$J$46:$J$70,0))</f>
        <v>90</v>
      </c>
      <c r="C79" s="695">
        <f t="shared" si="31"/>
        <v>5.4152770000000003E-2</v>
      </c>
      <c r="D79" s="695">
        <f t="shared" si="32"/>
        <v>4.5226929999999999E-2</v>
      </c>
      <c r="E79" s="695">
        <f t="shared" si="33"/>
        <v>9.8122620000000005</v>
      </c>
      <c r="F79" s="695">
        <f t="shared" si="34"/>
        <v>2.9869509999999999</v>
      </c>
      <c r="G79" s="695">
        <f t="shared" si="35"/>
        <v>-2.759344409855804</v>
      </c>
      <c r="H79" s="695">
        <f t="shared" si="36"/>
        <v>1.5392342865604425</v>
      </c>
      <c r="I79" s="695">
        <f t="shared" si="37"/>
        <v>14.962164167925074</v>
      </c>
      <c r="J79" s="695">
        <f t="shared" si="40"/>
        <v>18.121788158390665</v>
      </c>
      <c r="K79" s="670">
        <f t="shared" si="38"/>
        <v>75.423041018164739</v>
      </c>
      <c r="L79" s="670">
        <f t="shared" si="39"/>
        <v>18.121788158390665</v>
      </c>
    </row>
    <row r="80" spans="1:28" s="625" customFormat="1">
      <c r="A80" s="643">
        <f t="shared" si="41"/>
        <v>7</v>
      </c>
      <c r="B80" s="643">
        <f t="shared" ref="B80:B85" si="42">B79+2</f>
        <v>92</v>
      </c>
      <c r="C80" s="643">
        <f t="shared" si="31"/>
        <v>5.2541384501275649E-2</v>
      </c>
      <c r="D80" s="643">
        <f t="shared" si="32"/>
        <v>4.7089283394281034E-2</v>
      </c>
      <c r="E80" s="643">
        <f t="shared" si="33"/>
        <v>9.8039489427214672</v>
      </c>
      <c r="F80" s="643">
        <f t="shared" si="34"/>
        <v>2.9952640572785345</v>
      </c>
      <c r="G80" s="643">
        <f t="shared" si="35"/>
        <v>-2.7642139654180427</v>
      </c>
      <c r="H80" s="643">
        <f t="shared" si="36"/>
        <v>1.4934323855957674</v>
      </c>
      <c r="I80" s="643">
        <f t="shared" si="37"/>
        <v>14.967033723487312</v>
      </c>
      <c r="J80" s="643">
        <f t="shared" si="40"/>
        <v>18.108883359761844</v>
      </c>
      <c r="K80" s="670">
        <f t="shared" si="38"/>
        <v>75.809404601837059</v>
      </c>
      <c r="L80" s="670">
        <f t="shared" si="39"/>
        <v>18.108883359761844</v>
      </c>
    </row>
    <row r="81" spans="1:16" s="625" customFormat="1">
      <c r="A81" s="643">
        <f t="shared" si="41"/>
        <v>8</v>
      </c>
      <c r="B81" s="643">
        <f t="shared" si="42"/>
        <v>94</v>
      </c>
      <c r="C81" s="643">
        <f t="shared" si="31"/>
        <v>5.0865985418916307E-2</v>
      </c>
      <c r="D81" s="643">
        <f t="shared" si="32"/>
        <v>4.8894265750294208E-2</v>
      </c>
      <c r="E81" s="643">
        <f t="shared" si="33"/>
        <v>9.7790502712652962</v>
      </c>
      <c r="F81" s="643">
        <f t="shared" si="34"/>
        <v>3.0201627287347019</v>
      </c>
      <c r="G81" s="643">
        <f t="shared" si="35"/>
        <v>-2.7608601818553153</v>
      </c>
      <c r="H81" s="643">
        <f t="shared" si="36"/>
        <v>1.4458109673148669</v>
      </c>
      <c r="I81" s="643">
        <f t="shared" si="37"/>
        <v>14.963679939924585</v>
      </c>
      <c r="J81" s="643">
        <f t="shared" si="40"/>
        <v>18.080203371083432</v>
      </c>
      <c r="K81" s="670">
        <f t="shared" si="38"/>
        <v>76.179893969792886</v>
      </c>
      <c r="L81" s="670">
        <f t="shared" si="39"/>
        <v>18.080203371083432</v>
      </c>
    </row>
    <row r="82" spans="1:16" s="625" customFormat="1">
      <c r="A82" s="643">
        <f t="shared" si="41"/>
        <v>9</v>
      </c>
      <c r="B82" s="643">
        <f t="shared" si="42"/>
        <v>96</v>
      </c>
      <c r="C82" s="643">
        <f t="shared" si="31"/>
        <v>4.9128613968628443E-2</v>
      </c>
      <c r="D82" s="643">
        <f t="shared" si="32"/>
        <v>5.0639677975074904E-2</v>
      </c>
      <c r="E82" s="643">
        <f t="shared" si="33"/>
        <v>9.7376872894560282</v>
      </c>
      <c r="F82" s="643">
        <f t="shared" si="34"/>
        <v>3.0615257105439744</v>
      </c>
      <c r="G82" s="643">
        <f t="shared" si="35"/>
        <v>-2.7492993984640228</v>
      </c>
      <c r="H82" s="643">
        <f t="shared" si="36"/>
        <v>1.3964280510804006</v>
      </c>
      <c r="I82" s="643">
        <f t="shared" si="37"/>
        <v>14.952119156533293</v>
      </c>
      <c r="J82" s="643">
        <f t="shared" si="40"/>
        <v>18.035730429738599</v>
      </c>
      <c r="K82" s="670">
        <f t="shared" si="38"/>
        <v>76.536504695862533</v>
      </c>
      <c r="L82" s="670">
        <f t="shared" si="39"/>
        <v>18.035730429738599</v>
      </c>
    </row>
    <row r="83" spans="1:16" s="625" customFormat="1">
      <c r="A83" s="643">
        <f t="shared" si="41"/>
        <v>10</v>
      </c>
      <c r="B83" s="643">
        <f t="shared" si="42"/>
        <v>98</v>
      </c>
      <c r="C83" s="643">
        <f t="shared" si="31"/>
        <v>4.7331386869902639E-2</v>
      </c>
      <c r="D83" s="643">
        <f t="shared" si="32"/>
        <v>5.2323393552687392E-2</v>
      </c>
      <c r="E83" s="643">
        <f t="shared" si="33"/>
        <v>9.6800615135832331</v>
      </c>
      <c r="F83" s="643">
        <f t="shared" si="34"/>
        <v>3.1191514864167682</v>
      </c>
      <c r="G83" s="643">
        <f t="shared" si="35"/>
        <v>-2.7295879382187569</v>
      </c>
      <c r="H83" s="643">
        <f t="shared" si="36"/>
        <v>1.3453438023689441</v>
      </c>
      <c r="I83" s="643">
        <f t="shared" si="37"/>
        <v>14.932407696288024</v>
      </c>
      <c r="J83" s="643">
        <f t="shared" si="40"/>
        <v>17.975531134310518</v>
      </c>
      <c r="K83" s="670">
        <f t="shared" si="38"/>
        <v>76.881247958661746</v>
      </c>
      <c r="L83" s="670">
        <f t="shared" si="39"/>
        <v>17.975531134310518</v>
      </c>
    </row>
    <row r="84" spans="1:16" s="625" customFormat="1">
      <c r="A84" s="643">
        <f t="shared" si="41"/>
        <v>11</v>
      </c>
      <c r="B84" s="643">
        <f t="shared" si="42"/>
        <v>100</v>
      </c>
      <c r="C84" s="643">
        <f t="shared" si="31"/>
        <v>4.5476493767117092E-2</v>
      </c>
      <c r="D84" s="643">
        <f t="shared" si="32"/>
        <v>5.3943361135056829E-2</v>
      </c>
      <c r="E84" s="643">
        <f t="shared" si="33"/>
        <v>9.606453690634444</v>
      </c>
      <c r="F84" s="643">
        <f t="shared" si="34"/>
        <v>3.1927593093655551</v>
      </c>
      <c r="G84" s="643">
        <f t="shared" si="35"/>
        <v>-2.7018218333724442</v>
      </c>
      <c r="H84" s="643">
        <f t="shared" si="36"/>
        <v>1.292620459468627</v>
      </c>
      <c r="I84" s="643">
        <f t="shared" si="37"/>
        <v>14.904641591441713</v>
      </c>
      <c r="J84" s="643">
        <f t="shared" si="40"/>
        <v>17.899755758134681</v>
      </c>
      <c r="K84" s="670">
        <f t="shared" si="38"/>
        <v>77.216179323491005</v>
      </c>
      <c r="L84" s="670">
        <f t="shared" si="39"/>
        <v>17.899755758134681</v>
      </c>
    </row>
    <row r="85" spans="1:16" s="625" customFormat="1">
      <c r="A85" s="643">
        <f>A84+1</f>
        <v>12</v>
      </c>
      <c r="B85" s="643">
        <f t="shared" si="42"/>
        <v>102</v>
      </c>
      <c r="C85" s="643">
        <f t="shared" si="31"/>
        <v>4.3566194561793177E-2</v>
      </c>
      <c r="D85" s="643">
        <f t="shared" si="32"/>
        <v>5.5497607041221003E-2</v>
      </c>
      <c r="E85" s="643">
        <f t="shared" si="33"/>
        <v>9.5172224305240416</v>
      </c>
      <c r="F85" s="643">
        <f t="shared" si="34"/>
        <v>3.2819905694759606</v>
      </c>
      <c r="G85" s="643">
        <f t="shared" si="35"/>
        <v>-2.6661363575968609</v>
      </c>
      <c r="H85" s="643">
        <f t="shared" si="36"/>
        <v>1.2383222576513657</v>
      </c>
      <c r="I85" s="643">
        <f t="shared" si="37"/>
        <v>14.86895611566613</v>
      </c>
      <c r="J85" s="643">
        <f>SQRT(G85^2+H85^2)+I85</f>
        <v>17.80863723631419</v>
      </c>
      <c r="K85" s="670">
        <f t="shared" si="38"/>
        <v>77.543432668067425</v>
      </c>
      <c r="L85" s="670">
        <f t="shared" si="39"/>
        <v>17.80863723631419</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89.355566552600351</v>
      </c>
      <c r="C89" s="643">
        <f>$E$19*COS(B89*PI()/180)-$E$20*SIN(B89*PI()/180)</f>
        <v>5.4658023225459769E-2</v>
      </c>
      <c r="D89" s="643">
        <f>$E$19*SIN(B89*PI()/180)+$E$20*COS(B89*PI()/180)</f>
        <v>4.4614999641184587E-2</v>
      </c>
      <c r="E89" s="643">
        <f>$E$22*COS(B89*PI()/180)^2+$E$23*SIN(B89*PI()/180)^2</f>
        <v>9.811398594098538</v>
      </c>
      <c r="F89" s="670">
        <f>$E$22*SIN(B89*PI()/180)^2+$E$23*COS(B89*PI()/180)^2</f>
        <v>2.9878144059014629</v>
      </c>
      <c r="G89" s="643">
        <f>($E$18*(C89+$E$28)^2-$E$18*($E$21+$E$26)^2+$E$24-E89)/2</f>
        <v>-2.7560264141823678</v>
      </c>
      <c r="H89" s="643">
        <f>$E$18*(C89+$E$28)*($E$21+$E$26)</f>
        <v>1.5535955664732322</v>
      </c>
      <c r="I89" s="643">
        <f>$E$18*((C89+$E$28)^2+($E$21+$E$26)^2)/2+$E$18*(D89+$E$27)^2+($E$24+E89)/2</f>
        <v>14.958846172251636</v>
      </c>
      <c r="J89" s="702">
        <f>SQRT(G89^2+H89^2)+I89</f>
        <v>18.122600394664655</v>
      </c>
      <c r="K89" s="659">
        <f>$E$18*((C89+$E$28)^2+($E$21+$E$26)^2)+F89</f>
        <v>10.99597353577979</v>
      </c>
      <c r="L89" s="659">
        <f>$E$18*(D89^2+($E$21+$E$26)^2)+E89</f>
        <v>17.714872586434005</v>
      </c>
      <c r="N89" s="643">
        <f>IF(G89=0,0,IF((PI()/2-ATAN2(H89,G89))/2*180/PI()&gt;90,(PI()/2-ATAN2(H89,G89))/2*180/PI()-180,(PI()/2-ATAN2(H89,G89))/2*180/PI()))</f>
        <v>75.294836798059137</v>
      </c>
      <c r="O89" s="643">
        <f>IF(G89=0,0,SQRT(G89^2+H89^2)*SIN(2*N89*PI()/180+ATAN2(H89,G89))+I89)</f>
        <v>18.122600394664655</v>
      </c>
      <c r="P89" s="703"/>
    </row>
    <row r="90" spans="1:16" s="625" customFormat="1" ht="14.25">
      <c r="A90" s="664" t="s">
        <v>1584</v>
      </c>
      <c r="B90" s="701">
        <f>N46</f>
        <v>2.1843979647996816</v>
      </c>
      <c r="C90" s="643">
        <f>$E$19*COS(B90*PI()/180)-$E$20*SIN(B90*PI()/180)</f>
        <v>4.7258135882105916E-2</v>
      </c>
      <c r="D90" s="670">
        <f>$E$19*SIN(B90*PI()/180)+$E$20*COS(B90*PI()/180)</f>
        <v>-5.2389562785408059E-2</v>
      </c>
      <c r="E90" s="670">
        <f>$E$22*COS(B90*PI()/180)^2+$E$23*SIN(B90*PI()/180)^2</f>
        <v>2.9968668575541786</v>
      </c>
      <c r="F90" s="643">
        <f>$E$22*SIN(B90*PI()/180)^2+$E$23*COS(B90*PI()/180)^2</f>
        <v>9.8023461424458205</v>
      </c>
      <c r="G90" s="670">
        <f>($E$18*(C90+$E$28)^2-$E$18*($E$21+$E$26)^2+$E$24-E90)/2</f>
        <v>0.61164562905698805</v>
      </c>
      <c r="H90" s="670">
        <f>$E$18*(C90+$E$28)*($E$21+$E$26)</f>
        <v>1.3432617217673211</v>
      </c>
      <c r="I90" s="670">
        <f>$E$18*((C90+$E$28)^2+($E$21+$E$26)^2)/2+$E$18*(D90+$E$27)^2+($E$24+E90)/2</f>
        <v>11.591174129012281</v>
      </c>
      <c r="J90" s="670">
        <f>SQRT(G90^2+H90^2)+I90</f>
        <v>13.06713565585159</v>
      </c>
      <c r="K90" s="702">
        <f>$E$18*((C90+$E$28)^2+($E$21+$E$26)^2)+F90</f>
        <v>17.731317622258498</v>
      </c>
      <c r="L90" s="659">
        <f>$E$18*(D90^2+($E$21+$E$26)^2)+E90</f>
        <v>10.979528499955293</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7.0554926801023612E-2</v>
      </c>
      <c r="P5" s="10"/>
      <c r="Q5" s="4" t="s">
        <v>91</v>
      </c>
      <c r="R5" s="10"/>
    </row>
    <row r="6" spans="1:18" ht="14.1" customHeight="1">
      <c r="B6" s="14" t="s">
        <v>427</v>
      </c>
      <c r="C6" s="72">
        <f>VLOOKUP($C$3,Table1,12)</f>
        <v>210</v>
      </c>
      <c r="D6" s="68">
        <f>HLOOKUP($C$4,$E$4:$H$12,3)</f>
        <v>105</v>
      </c>
      <c r="E6" s="68">
        <f>'Payload Input'!$E$18</f>
        <v>105</v>
      </c>
      <c r="F6" s="68">
        <f>'Payload Input'!$E$18</f>
        <v>105</v>
      </c>
      <c r="G6" s="147">
        <f>IF(('Misc Data'!$B$11=3),Anal_Input_1, 0)</f>
        <v>0</v>
      </c>
      <c r="H6" s="155">
        <f>I6</f>
        <v>0</v>
      </c>
      <c r="I6" s="156">
        <f>IF(('Misc Data'!$B$11=4),Anal_Input_1, 0)</f>
        <v>0</v>
      </c>
      <c r="J6" s="39"/>
      <c r="K6" s="51"/>
      <c r="L6" s="52"/>
      <c r="M6" s="400"/>
      <c r="N6" s="391" t="s">
        <v>840</v>
      </c>
      <c r="O6" s="52">
        <f>'Payload Input'!$E$21+'Payload Input'!$E$26</f>
        <v>0.27070404999999997</v>
      </c>
      <c r="Q6" s="31" t="s">
        <v>427</v>
      </c>
      <c r="R6" s="450">
        <f>D6</f>
        <v>105</v>
      </c>
    </row>
    <row r="7" spans="1:18" ht="14.1" customHeight="1">
      <c r="B7" s="14" t="s">
        <v>364</v>
      </c>
      <c r="C7" s="72">
        <f>VLOOKUP($C$3,Table1,6)</f>
        <v>1333</v>
      </c>
      <c r="D7" s="68">
        <f>IF(OR(Anal_Robot_Code=10111,Anal_Robot_Code=10214,Anal_Robot_Code=10215),"-",HLOOKUP($C$4,$E$4:$H$12,4))</f>
        <v>287.86020807794051</v>
      </c>
      <c r="E7" s="68">
        <f>'Payload Input'!$E$31</f>
        <v>287.86020807794051</v>
      </c>
      <c r="F7" s="68">
        <f>'Payload Input'!$E$31</f>
        <v>287.86020807794051</v>
      </c>
      <c r="G7" s="147">
        <f>IF(('Misc Data'!$B$11=3),Anal_Input_2, 0)</f>
        <v>0</v>
      </c>
      <c r="H7" s="155">
        <f>I7</f>
        <v>0</v>
      </c>
      <c r="I7" s="156">
        <f>IF(('Misc Data'!$B$11=4),Anal_Input_2, 0)</f>
        <v>0</v>
      </c>
      <c r="J7" s="39"/>
      <c r="K7" s="51" t="s">
        <v>1564</v>
      </c>
      <c r="L7" s="52">
        <f>D8*SIN(RADIANS(O10))</f>
        <v>72.601019678253294</v>
      </c>
      <c r="M7" s="39"/>
      <c r="N7" s="391" t="s">
        <v>3494</v>
      </c>
      <c r="O7" s="52">
        <f>DEGREES(IF(O6=0,0,ATAN2(O6,O5)))</f>
        <v>14.608285387139118</v>
      </c>
      <c r="Q7" s="31" t="s">
        <v>364</v>
      </c>
      <c r="R7" s="31">
        <f>IF(Axis_Type&lt;&gt;2,D7,IF(Wrist_Down_Fix=1,L7,D8))</f>
        <v>287.86020807794051</v>
      </c>
    </row>
    <row r="8" spans="1:18" ht="14.1" customHeight="1">
      <c r="A8" s="4"/>
      <c r="B8" s="14" t="s">
        <v>365</v>
      </c>
      <c r="C8" s="72">
        <f>VLOOKUP($C$3,Table1,7)</f>
        <v>1333</v>
      </c>
      <c r="D8" s="68">
        <f>HLOOKUP($C$4,$E$4:$H$12,5)</f>
        <v>287.86020807794051</v>
      </c>
      <c r="E8" s="68">
        <f>'Payload Input'!$E$32</f>
        <v>287.86020807794051</v>
      </c>
      <c r="F8" s="68">
        <f>'Payload Input'!$E$32</f>
        <v>287.86020807794051</v>
      </c>
      <c r="G8" s="147">
        <f>IF(('Misc Data'!$B$11=3),Anal_Input_3, 0)</f>
        <v>0</v>
      </c>
      <c r="H8" s="155">
        <f>I8</f>
        <v>0</v>
      </c>
      <c r="I8" s="156">
        <f>IF(('Misc Data'!$B$11=4),Anal_Input_3, 0)</f>
        <v>0</v>
      </c>
      <c r="J8" s="39"/>
      <c r="K8" s="51" t="s">
        <v>3182</v>
      </c>
      <c r="L8" s="52">
        <f>D9*SIN(RADIANS(L5))</f>
        <v>0</v>
      </c>
      <c r="M8" s="39"/>
      <c r="N8" s="391" t="s">
        <v>1493</v>
      </c>
      <c r="O8" s="52">
        <f>O7+L5</f>
        <v>14.608285387139118</v>
      </c>
      <c r="Q8" s="31" t="s">
        <v>365</v>
      </c>
      <c r="R8" s="31">
        <f>IF(Axis_Type&lt;&gt;2,D8,IF(Wrist_Down_Fix=1,L8,D9))</f>
        <v>287.86020807794051</v>
      </c>
    </row>
    <row r="9" spans="1:18" ht="14.1" customHeight="1">
      <c r="B9" s="14" t="s">
        <v>366</v>
      </c>
      <c r="C9" s="72">
        <f>VLOOKUP($C$3,Table1,8)</f>
        <v>706</v>
      </c>
      <c r="D9" s="68">
        <f>HLOOKUP($C$4,$E$4:$H$12,6)</f>
        <v>72.601019678253294</v>
      </c>
      <c r="E9" s="68">
        <f>'Payload Input'!$E$33</f>
        <v>72.601019678253294</v>
      </c>
      <c r="F9" s="68">
        <f>'Payload Input'!$E$33</f>
        <v>72.601019678253294</v>
      </c>
      <c r="G9" s="147">
        <f>IF(('Misc Data'!$B$11=3),Anal_Input_4, 0)</f>
        <v>0</v>
      </c>
      <c r="H9" s="155">
        <f>I9</f>
        <v>0</v>
      </c>
      <c r="I9" s="156">
        <f>IF(('Misc Data'!$B$11=4),Anal_Input_4, 0)</f>
        <v>0</v>
      </c>
      <c r="J9" s="39"/>
      <c r="K9" s="51"/>
      <c r="L9" s="52"/>
      <c r="M9" s="39"/>
      <c r="N9" s="391" t="s">
        <v>2815</v>
      </c>
      <c r="O9" s="52">
        <f>O7-L5</f>
        <v>14.608285387139118</v>
      </c>
      <c r="Q9" s="31" t="s">
        <v>366</v>
      </c>
      <c r="R9" s="31">
        <f>IF(Axis_Count=1,0,D9)</f>
        <v>72.601019678253294</v>
      </c>
    </row>
    <row r="10" spans="1:18" ht="14.1" customHeight="1" thickBot="1">
      <c r="B10" s="14" t="s">
        <v>1914</v>
      </c>
      <c r="C10" s="72">
        <f>VLOOKUP($C$3,Table1,9)</f>
        <v>141.1</v>
      </c>
      <c r="D10" s="68">
        <f>HLOOKUP($C$4,$E$4:$H$12,7)</f>
        <v>18.122600394664655</v>
      </c>
      <c r="E10" s="68">
        <f>'Payload Input'!$E$36</f>
        <v>18.122600394664655</v>
      </c>
      <c r="F10" s="68">
        <f>'Payload Input'!$E$36</f>
        <v>18.122600394664655</v>
      </c>
      <c r="G10" s="147">
        <f>IF(('Misc Data'!$B$11=3),Anal_Input_5, 0)</f>
        <v>0</v>
      </c>
      <c r="H10" s="155">
        <f>I10/H13</f>
        <v>0</v>
      </c>
      <c r="I10" s="156">
        <f>IF(('Misc Data'!$B$11=4),Anal_Input_5, 0)</f>
        <v>0</v>
      </c>
      <c r="J10" s="39"/>
      <c r="K10" s="51" t="s">
        <v>1599</v>
      </c>
      <c r="L10" s="392">
        <f>D11</f>
        <v>17.731317622258498</v>
      </c>
      <c r="M10" s="39"/>
      <c r="N10" s="453" t="s">
        <v>882</v>
      </c>
      <c r="O10" s="54">
        <f>IF(O9&lt;=90,IF(90&lt;=O8,90,O8),O9)</f>
        <v>14.608285387139118</v>
      </c>
      <c r="Q10" s="31" t="s">
        <v>1914</v>
      </c>
      <c r="R10" s="31">
        <f>IF(Axis_Type&lt;&gt;2,D10,IF(Wrist_Down_Fix=1,L10,D11))</f>
        <v>18.122600394664655</v>
      </c>
    </row>
    <row r="11" spans="1:18" ht="14.1" customHeight="1">
      <c r="B11" s="14" t="s">
        <v>1915</v>
      </c>
      <c r="C11" s="72">
        <f>VLOOKUP($C$3,Table1,10)</f>
        <v>141.1</v>
      </c>
      <c r="D11" s="68">
        <f>HLOOKUP($C$4,$E$4:$H$12,8)</f>
        <v>17.731317622258498</v>
      </c>
      <c r="E11" s="68">
        <f>'Payload Input'!$E$37</f>
        <v>17.731317622258498</v>
      </c>
      <c r="F11" s="68">
        <f>'Payload Input'!$E$37</f>
        <v>17.731317622258498</v>
      </c>
      <c r="G11" s="147">
        <f>IF(('Misc Data'!$B$11=3),Anal_Input_6, 0)</f>
        <v>0</v>
      </c>
      <c r="H11" s="155">
        <f>I11/H13</f>
        <v>0</v>
      </c>
      <c r="I11" s="156">
        <f>IF(('Misc Data'!$B$11=4),Anal_Input_6, 0)</f>
        <v>0</v>
      </c>
      <c r="J11" s="39"/>
      <c r="K11" s="51" t="s">
        <v>1060</v>
      </c>
      <c r="L11" s="392">
        <f>D12</f>
        <v>12.202819758069269</v>
      </c>
      <c r="M11" s="39"/>
      <c r="N11" s="151"/>
      <c r="Q11" s="31" t="s">
        <v>1915</v>
      </c>
      <c r="R11" s="31">
        <f>IF(Axis_Type&lt;&gt;2,D11,IF(Wrist_Down_Fix=1,L11,D12))</f>
        <v>17.731317622258498</v>
      </c>
    </row>
    <row r="12" spans="1:18" s="19" customFormat="1" ht="14.1" customHeight="1" thickBot="1">
      <c r="A12" s="5"/>
      <c r="B12" s="16" t="s">
        <v>554</v>
      </c>
      <c r="C12" s="73">
        <f>VLOOKUP($C$3,Table1,11)</f>
        <v>78.400000000000006</v>
      </c>
      <c r="D12" s="88">
        <f>HLOOKUP($C$4,$E$4:$H$12,9)</f>
        <v>12.202819758069269</v>
      </c>
      <c r="E12" s="69">
        <f>'Payload Input'!$E$38</f>
        <v>12.202819758069269</v>
      </c>
      <c r="F12" s="69">
        <f>'Payload Input'!$E$38</f>
        <v>12.202819758069269</v>
      </c>
      <c r="G12" s="148">
        <f>IF(('Misc Data'!$B$11=3),Anal_Input_7, 0)</f>
        <v>0</v>
      </c>
      <c r="H12" s="157">
        <f>I12/H13</f>
        <v>0</v>
      </c>
      <c r="I12" s="158">
        <f>IF(('Misc Data'!$B$11=4),Anal_Input_7, 0)</f>
        <v>0</v>
      </c>
      <c r="J12" s="32"/>
      <c r="K12" s="53"/>
      <c r="L12" s="393"/>
      <c r="M12" s="5"/>
      <c r="N12" s="151"/>
      <c r="O12" s="5"/>
      <c r="P12" s="5"/>
      <c r="Q12" s="31" t="s">
        <v>554</v>
      </c>
      <c r="R12" s="31">
        <f>IF(Axis_Count=1,0,D12)</f>
        <v>12.202819758069269</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48.6</v>
      </c>
      <c r="F20" s="39"/>
      <c r="I20" s="151"/>
      <c r="J20" s="39"/>
      <c r="K20" s="35"/>
      <c r="L20" s="400"/>
      <c r="M20" s="39"/>
      <c r="O20" s="400"/>
      <c r="Q20" s="31" t="s">
        <v>310</v>
      </c>
      <c r="R20" s="387">
        <f>D20</f>
        <v>48.6</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21</v>
      </c>
      <c r="E22" s="341">
        <f>TRUNC(D8/$C$7*100,0)</f>
        <v>21</v>
      </c>
      <c r="F22" s="341">
        <f>TRUNC(L7/$C$7*100,0)</f>
        <v>5</v>
      </c>
      <c r="G22" s="39"/>
      <c r="H22" s="39"/>
      <c r="I22" s="458" t="s">
        <v>493</v>
      </c>
      <c r="J22" s="39"/>
      <c r="K22" s="39"/>
      <c r="L22" s="455"/>
      <c r="M22" s="39"/>
      <c r="N22" s="337"/>
      <c r="O22" s="400"/>
      <c r="P22" s="39"/>
      <c r="Q22" s="55" t="s">
        <v>490</v>
      </c>
      <c r="R22" s="397">
        <f>IF(OR(Anal_Robot_Code=10111,Anal_Robot_Code=10214,Anal_Robot_Code=10215),I22,IF(Axis_Type&lt;&gt;2,D22,IF(Wrist_Down_Fix=1,F22,E22)))</f>
        <v>21</v>
      </c>
    </row>
    <row r="23" spans="1:18" s="4" customFormat="1" ht="14.1" customHeight="1">
      <c r="A23" s="5"/>
      <c r="B23" s="14" t="s">
        <v>491</v>
      </c>
      <c r="C23" s="65"/>
      <c r="D23" s="340">
        <f>IF(Wrist_Down_Fix=1,IF(C8&lt;D8,101,0),TRUNC(D8/$C$8*100,0))</f>
        <v>21</v>
      </c>
      <c r="E23" s="341">
        <f>TRUNC(D9/$C$8*100,0)</f>
        <v>5</v>
      </c>
      <c r="F23" s="341">
        <v>0</v>
      </c>
      <c r="G23" s="458" t="str">
        <f>IF(D23=0,"-","∞")</f>
        <v>∞</v>
      </c>
      <c r="H23" s="39"/>
      <c r="I23" s="39"/>
      <c r="J23" s="39"/>
      <c r="K23" s="39"/>
      <c r="L23" s="455"/>
      <c r="M23" s="39"/>
      <c r="N23" s="39"/>
      <c r="O23" s="400"/>
      <c r="P23" s="39"/>
      <c r="Q23" s="56" t="s">
        <v>491</v>
      </c>
      <c r="R23" s="459">
        <f>IF(Axis_Type&lt;&gt;2,IF(Wrist_Down_Fix=1,G23,D23),IF(Wrist_Down_Fix=1,F23,E23))</f>
        <v>21</v>
      </c>
    </row>
    <row r="24" spans="1:18" ht="14.1" customHeight="1" thickBot="1">
      <c r="B24" s="16" t="s">
        <v>492</v>
      </c>
      <c r="C24" s="66"/>
      <c r="D24" s="323">
        <f>TRUNC(D9/$C$9*100,0)</f>
        <v>10</v>
      </c>
      <c r="F24" s="39"/>
      <c r="G24" s="39"/>
      <c r="H24" s="39"/>
      <c r="I24" s="39"/>
      <c r="J24" s="39"/>
      <c r="K24" s="39"/>
      <c r="L24" s="455"/>
      <c r="M24" s="39"/>
      <c r="N24" s="414"/>
      <c r="O24" s="400"/>
      <c r="P24" s="39"/>
      <c r="Q24" s="48" t="s">
        <v>492</v>
      </c>
      <c r="R24" s="397">
        <f>IF(Axis_Count=1,0,D24)</f>
        <v>10</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12.9</v>
      </c>
      <c r="E26" s="341">
        <f>ROUNDUP(D11/$C10*100,1)</f>
        <v>12.6</v>
      </c>
      <c r="F26" s="341">
        <f>ROUNDUP(L10/$C$10*100,1)</f>
        <v>12.6</v>
      </c>
      <c r="G26" s="39"/>
      <c r="H26" s="39"/>
      <c r="I26" s="39"/>
      <c r="J26" s="39"/>
      <c r="K26" s="39"/>
      <c r="L26" s="455"/>
      <c r="M26" s="39"/>
      <c r="N26" s="39"/>
      <c r="O26" s="400"/>
      <c r="P26" s="39"/>
      <c r="Q26" s="55" t="s">
        <v>490</v>
      </c>
      <c r="R26" s="397">
        <f>IF(Axis_Type&lt;&gt;2,D26,IF(Wrist_Down_Fix=1,F26,E26))</f>
        <v>12.9</v>
      </c>
    </row>
    <row r="27" spans="1:18" ht="14.1" customHeight="1">
      <c r="B27" s="14" t="s">
        <v>491</v>
      </c>
      <c r="C27" s="65">
        <f>ROUND(C11/$G74*100,)</f>
        <v>66</v>
      </c>
      <c r="D27" s="340">
        <f>ROUNDUP(D11/$C11*100,1)</f>
        <v>12.6</v>
      </c>
      <c r="E27" s="341">
        <f>ROUNDUP(D12/$C11*100,1)</f>
        <v>8.6999999999999993</v>
      </c>
      <c r="F27" s="341">
        <f>ROUNDUP(L11/$C11*100,1)</f>
        <v>8.6999999999999993</v>
      </c>
      <c r="G27" s="39"/>
      <c r="H27" s="39"/>
      <c r="I27" s="39"/>
      <c r="J27" s="39"/>
      <c r="K27" s="39"/>
      <c r="L27" s="455"/>
      <c r="M27" s="39"/>
      <c r="N27" s="39"/>
      <c r="O27" s="400"/>
      <c r="P27" s="39"/>
      <c r="Q27" s="56" t="s">
        <v>491</v>
      </c>
      <c r="R27" s="397">
        <f>IF(Axis_Type&lt;&gt;2,D27,IF(Wrist_Down_Fix=1,F27,E27))</f>
        <v>12.6</v>
      </c>
    </row>
    <row r="28" spans="1:18" s="19" customFormat="1" ht="14.1" customHeight="1" thickBot="1">
      <c r="A28" s="5"/>
      <c r="B28" s="16" t="s">
        <v>492</v>
      </c>
      <c r="C28" s="66">
        <f>ROUND(C12/$G75*100,)</f>
        <v>76</v>
      </c>
      <c r="D28" s="323">
        <f>ROUNDUP(D12/$C12*100,1)</f>
        <v>15.6</v>
      </c>
      <c r="E28" s="5"/>
      <c r="F28" s="39"/>
      <c r="G28" s="5"/>
      <c r="H28" s="5"/>
      <c r="I28" s="5"/>
      <c r="J28" s="39"/>
      <c r="K28" s="39"/>
      <c r="L28" s="455"/>
      <c r="M28" s="39"/>
      <c r="N28" s="5"/>
      <c r="O28" s="5"/>
      <c r="P28" s="5"/>
      <c r="Q28" s="48" t="s">
        <v>492</v>
      </c>
      <c r="R28" s="398">
        <f>IF(Axis_Count=1,0,D28)</f>
        <v>15.6</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362.16286969606563</v>
      </c>
      <c r="E65" s="362">
        <f>D8+(D11*$D$73)</f>
        <v>360.55861032920035</v>
      </c>
      <c r="F65" s="135"/>
      <c r="G65" s="135"/>
      <c r="J65" s="39"/>
      <c r="K65" s="400"/>
      <c r="L65" s="135"/>
      <c r="M65" s="135"/>
      <c r="N65" s="39"/>
    </row>
    <row r="66" spans="1:18" s="4" customFormat="1" ht="14.1" customHeight="1">
      <c r="A66" s="5"/>
      <c r="B66" s="37" t="s">
        <v>491</v>
      </c>
      <c r="C66" s="38">
        <f xml:space="preserve"> C8+(C11*$D$74)</f>
        <v>1726.6689999999999</v>
      </c>
      <c r="D66" s="38">
        <f xml:space="preserve"> D8+(D11*$D$74)</f>
        <v>337.33058424404175</v>
      </c>
      <c r="E66" s="362">
        <f xml:space="preserve"> D9+(D12*$D$74)</f>
        <v>106.64688680326655</v>
      </c>
      <c r="F66" s="135"/>
      <c r="G66" s="135"/>
      <c r="H66" s="5"/>
      <c r="I66" s="5"/>
      <c r="J66" s="39"/>
      <c r="K66" s="400"/>
      <c r="L66" s="135"/>
      <c r="M66" s="135"/>
      <c r="N66" s="39"/>
      <c r="O66" s="5"/>
      <c r="P66" s="5"/>
      <c r="Q66" s="5"/>
      <c r="R66" s="5"/>
    </row>
    <row r="67" spans="1:18" ht="14.1" customHeight="1">
      <c r="B67" s="37" t="s">
        <v>492</v>
      </c>
      <c r="C67" s="38">
        <f>C9+(C12*$D$75)</f>
        <v>935.71199999999999</v>
      </c>
      <c r="D67" s="38">
        <f>D9+(D12*$D$75)</f>
        <v>108.35528156939625</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105</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4.5229999999999997</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-5.415</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3.57</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30.478999999999999</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100.125</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119.185</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48.6</v>
      </c>
      <c r="D9" s="3">
        <v>0</v>
      </c>
      <c r="E9" s="3">
        <f>IF(H9&gt;$F$8, $F$8-$E$8, IF(H9&gt;$E$8, H9-$E$8, 0))</f>
        <v>0</v>
      </c>
      <c r="F9" s="3">
        <f>IF(H9&gt;$F$8, H9-$F$8, 0)</f>
        <v>0</v>
      </c>
      <c r="H9" s="3">
        <f>'Wrist Load Analysis'!R20</f>
        <v>48.6</v>
      </c>
    </row>
    <row r="11" spans="1:8">
      <c r="A11" s="3" t="s">
        <v>348</v>
      </c>
      <c r="B11" s="3" t="s">
        <v>2344</v>
      </c>
      <c r="C11" s="3">
        <f>IF(H11&gt;$E$8, $E$8, H11)</f>
        <v>21</v>
      </c>
      <c r="D11" s="3">
        <v>0</v>
      </c>
      <c r="E11" s="3">
        <f>IF(H11&gt;$F$8, $F$8-$E$8, IF(H11&gt;$E$8, H11-$E$8, 0))</f>
        <v>0</v>
      </c>
      <c r="F11" s="3">
        <f>IF(H11&gt;$F$8, H11-$F$8, 0)</f>
        <v>0</v>
      </c>
      <c r="H11" s="3">
        <f>IF(Anal_Robot_Code=10111,0,'Wrist Load Analysis'!R22)</f>
        <v>21</v>
      </c>
    </row>
    <row r="12" spans="1:8">
      <c r="B12" s="3" t="s">
        <v>1618</v>
      </c>
      <c r="C12" s="3">
        <f>IF(H12&gt;$E$8, $E$8, H12)</f>
        <v>21</v>
      </c>
      <c r="D12" s="3">
        <v>0</v>
      </c>
      <c r="E12" s="3">
        <f>IF(H12&gt;$F$8, $F$8-$E$8, IF(H12&gt;$E$8, H12-$E$8, 0))</f>
        <v>0</v>
      </c>
      <c r="F12" s="3">
        <f>IF(H12&gt;$F$8, H12-$F$8, 0)</f>
        <v>0</v>
      </c>
      <c r="H12" s="3">
        <f>'Wrist Load Analysis'!R23</f>
        <v>21</v>
      </c>
    </row>
    <row r="13" spans="1:8">
      <c r="B13" s="3" t="str">
        <f>IF(Axis_Count=1,"","J6")</f>
        <v>J6</v>
      </c>
      <c r="C13" s="3">
        <f>IF(H13&gt;$E$8, $E$8, H13)</f>
        <v>10</v>
      </c>
      <c r="D13" s="3">
        <v>0</v>
      </c>
      <c r="E13" s="3">
        <f>IF(H13&gt;$F$8, $F$8-$E$8, IF(H13&gt;$E$8, H13-$E$8, 0))</f>
        <v>0</v>
      </c>
      <c r="F13" s="3">
        <f>IF(H13&gt;$F$8, H13-$F$8, 0)</f>
        <v>0</v>
      </c>
      <c r="H13" s="3">
        <f>'Wrist Load Analysis'!R24</f>
        <v>10</v>
      </c>
    </row>
    <row r="15" spans="1:8">
      <c r="A15" s="3" t="s">
        <v>488</v>
      </c>
      <c r="B15" s="3" t="s">
        <v>2344</v>
      </c>
      <c r="C15" s="3">
        <f>IF(H15&gt;E8, E8, H15)</f>
        <v>12.9</v>
      </c>
      <c r="D15" s="3">
        <v>0</v>
      </c>
      <c r="E15" s="3">
        <f>IF(H15&gt;$F$8, $F$8-$E$8, IF(H15&gt;$E$8, H15-$E$8, 0))</f>
        <v>0</v>
      </c>
      <c r="F15" s="3">
        <f>IF(H15&gt;$F$8, H15-$F$8, 0)</f>
        <v>0</v>
      </c>
      <c r="H15" s="3">
        <f>'Wrist Load Analysis'!R26</f>
        <v>12.9</v>
      </c>
    </row>
    <row r="16" spans="1:8">
      <c r="B16" s="3" t="s">
        <v>1618</v>
      </c>
      <c r="C16" s="3">
        <f>IF(H16&gt;E8, E8, H16)</f>
        <v>12.6</v>
      </c>
      <c r="D16" s="3">
        <v>0</v>
      </c>
      <c r="E16" s="3">
        <f>IF(H16&gt;$F$8, $F$8-$E$8, IF(H16&gt;$E$8, H16-$E$8, 0))</f>
        <v>0</v>
      </c>
      <c r="F16" s="3">
        <f>IF(H16&gt;$F$8, H16-$F$8, 0)</f>
        <v>0</v>
      </c>
      <c r="H16" s="3">
        <f>'Wrist Load Analysis'!R27</f>
        <v>12.6</v>
      </c>
    </row>
    <row r="17" spans="1:16">
      <c r="B17" s="3" t="str">
        <f>IF(Axis_Count=1,"","J6")</f>
        <v>J6</v>
      </c>
      <c r="C17" s="3">
        <f>IF(H17&gt;E8, E8, H17)</f>
        <v>15.6</v>
      </c>
      <c r="D17" s="3">
        <v>0</v>
      </c>
      <c r="E17" s="3">
        <f>IF(H17&gt;$F$8, $F$8-$E$8, IF(H17&gt;$E$8, H17-$E$8, 0))</f>
        <v>0</v>
      </c>
      <c r="F17" s="3">
        <f>IF(H17&gt;$F$8, H17-$F$8, 0)</f>
        <v>0</v>
      </c>
      <c r="H17" s="3">
        <f>'Wrist Load Analysis'!R28</f>
        <v>15.6</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287.86020807794051</v>
      </c>
      <c r="G25" s="209">
        <f>'Wrist Load Analysis'!R10</f>
        <v>18.122600394664655</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287.86020807794051</v>
      </c>
      <c r="G29" s="209">
        <f>'Wrist Load Analysis'!R11</f>
        <v>17.731317622258498</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72.601019678253294</v>
      </c>
      <c r="G33" s="209">
        <f>'Wrist Load Analysis'!R12</f>
        <v>12.202819758069269</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2016-12-07T00:11:39Z</cp:lastPrinted>
  <dcterms:created xsi:type="dcterms:W3CDTF">1999-12-01T08:04:04Z</dcterms:created>
  <dcterms:modified xsi:type="dcterms:W3CDTF">2016-12-07T00:12:03Z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