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0" i="60" l="1"/>
  <c r="O34" i="60"/>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l="1"/>
  <c r="R66" i="37" s="1"/>
  <c r="U66" i="37" l="1"/>
  <c r="S66" i="37"/>
  <c r="X66" i="37" s="1"/>
  <c r="T66" i="37"/>
  <c r="Y66" i="37" s="1"/>
  <c r="V66" i="37"/>
  <c r="W66" i="37"/>
  <c r="Z66" i="37" l="1"/>
  <c r="AA66" i="37"/>
  <c r="AB66" i="37" l="1"/>
  <c r="O67" i="37" s="1"/>
  <c r="Q67" i="37" s="1"/>
  <c r="P67" i="37"/>
  <c r="T67" i="37" s="1"/>
  <c r="Y67" i="37" s="1"/>
  <c r="V67" i="37" l="1"/>
  <c r="W67" i="37"/>
  <c r="S67" i="37"/>
  <c r="X67" i="37" s="1"/>
  <c r="R67" i="37"/>
  <c r="U67" i="37"/>
  <c r="AA67" i="37" l="1"/>
  <c r="Z67" i="37"/>
  <c r="AB67" i="37" l="1"/>
  <c r="O68" i="37" s="1"/>
  <c r="P68" i="37" s="1"/>
  <c r="Q68" i="37" l="1"/>
  <c r="W68" i="37" s="1"/>
  <c r="U68" i="37"/>
  <c r="S68" i="37"/>
  <c r="X68" i="37" s="1"/>
  <c r="V68" i="37" l="1"/>
  <c r="T68" i="37"/>
  <c r="Y68" i="37" s="1"/>
  <c r="R68" i="37"/>
  <c r="Z68" i="37" s="1"/>
  <c r="AA68" i="37" l="1"/>
  <c r="AB68" i="37" s="1"/>
  <c r="O69" i="37" s="1"/>
  <c r="Q69" i="37" s="1"/>
  <c r="P69" i="37" l="1"/>
  <c r="R69" i="37" s="1"/>
  <c r="V69" i="37"/>
  <c r="W69" i="37"/>
  <c r="U69" i="37"/>
  <c r="S69" i="37" l="1"/>
  <c r="X69" i="37" s="1"/>
  <c r="T69" i="37"/>
  <c r="Y69" i="37" s="1"/>
  <c r="AA69" i="37"/>
  <c r="Z69" i="37" l="1"/>
  <c r="AB69" i="37"/>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<sst xmlns="http://schemas.openxmlformats.org/spreadsheetml/2006/main" count="6673" uniqueCount="4044">
  <si>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</si>
  <si>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</si>
  <si>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</si>
  <si>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</si>
  <si>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</si>
  <si>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</si>
  <si>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</si>
  <si>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</si>
  <si>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</si>
  <si>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</si>
  <si>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</si>
  <si>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</si>
  <si>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</si>
  <si>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</si>
  <si>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</si>
  <si>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</si>
  <si>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</si>
  <si>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</si>
  <si>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</si>
  <si>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</si>
  <si>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</si>
  <si>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</si>
  <si>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</si>
  <si>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</si>
  <si>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</si>
  <si>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</si>
  <si>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</si>
  <si>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</si>
  <si>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</si>
  <si>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</si>
  <si>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</si>
  <si>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</si>
  <si>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</si>
  <si>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</si>
  <si>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</si>
  <si>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</si>
  <si>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</si>
  <si>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</si>
  <si>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</si>
  <si>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</si>
  <si>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</si>
  <si>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</si>
  <si>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</si>
  <si>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</si>
  <si>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</si>
  <si>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</si>
  <si>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</si>
  <si>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</si>
  <si>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</si>
  <si>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</si>
  <si>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</si>
  <si>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</si>
  <si>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</si>
  <si>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</si>
  <si>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</si>
  <si>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</si>
  <si>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</si>
  <si>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</si>
  <si>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</si>
  <si>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</si>
  <si>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</si>
  <si>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</si>
  <si>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</si>
  <si>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</si>
  <si>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</si>
  <si>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</si>
  <si>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</si>
  <si>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</si>
  <si>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</si>
  <si>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</si>
  <si>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</si>
  <si>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</si>
  <si>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</si>
  <si>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</si>
  <si>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</si>
  <si>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</si>
  <si>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</si>
  <si>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</si>
  <si>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</si>
  <si>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</si>
  <si>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</si>
  <si>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</si>
  <si>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</si>
  <si>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</si>
  <si>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</si>
  <si>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</si>
  <si>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</si>
  <si>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</si>
  <si>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</si>
  <si>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</si>
  <si>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</si>
  <si>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</si>
  <si>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</si>
  <si>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</si>
  <si>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</si>
  <si>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</si>
  <si>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</si>
  <si>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</si>
  <si>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</si>
  <si>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</si>
  <si>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</si>
  <si>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</si>
  <si>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</si>
  <si>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</si>
  <si>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</si>
  <si>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</si>
  <si>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</si>
  <si>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</si>
  <si>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</si>
  <si>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</si>
  <si>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</si>
  <si>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</si>
  <si>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</si>
  <si>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</si>
  <si>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</si>
  <si>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</si>
  <si>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</si>
  <si>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</si>
  <si>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</si>
  <si>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</si>
  <si>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</si>
  <si>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</si>
  <si>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</si>
  <si>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</si>
  <si>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</si>
  <si>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</si>
  <si>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</si>
  <si>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</si>
  <si>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</si>
  <si>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</si>
  <si>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</si>
  <si>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</si>
  <si>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</si>
  <si>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</si>
  <si>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</si>
  <si>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</si>
  <si>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</si>
  <si>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</si>
  <si>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</si>
  <si>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</si>
  <si>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</si>
  <si>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</si>
  <si>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</si>
  <si>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</si>
  <si>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</si>
  <si>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</si>
  <si>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</si>
  <si>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</si>
  <si>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</si>
  <si>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</si>
  <si>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</si>
  <si>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</si>
  <si>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</si>
  <si>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</si>
  <si>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</si>
  <si>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</si>
  <si>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</si>
  <si>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</si>
  <si>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</si>
  <si>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</si>
  <si>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</si>
  <si>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</si>
  <si>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</si>
  <si>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</si>
  <si>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</si>
  <si>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</si>
  <si>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</si>
  <si>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</si>
  <si>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</si>
  <si>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</si>
  <si>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</si>
  <si>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</si>
  <si>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</si>
  <si>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</si>
  <si>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</si>
  <si>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</si>
  <si>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</si>
  <si>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</si>
  <si>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</si>
  <si>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</si>
  <si>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</si>
  <si>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</si>
  <si>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</si>
  <si>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</si>
  <si>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</si>
  <si>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</si>
  <si>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</si>
  <si>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</si>
  <si>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</si>
  <si>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</si>
  <si>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</si>
  <si>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</si>
  <si>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</si>
  <si>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</si>
  <si>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</si>
  <si>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</si>
  <si>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</si>
  <si>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</si>
  <si>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</si>
  <si>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</si>
  <si>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</si>
  <si>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</si>
  <si>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</si>
  <si>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</si>
  <si>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</si>
  <si>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</si>
  <si>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</si>
  <si>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</si>
  <si>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</si>
  <si>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</si>
  <si>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</si>
  <si>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</si>
  <si>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</si>
  <si>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</si>
  <si>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</si>
  <si>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</si>
  <si>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</si>
  <si>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</si>
  <si>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</si>
  <si>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</si>
  <si>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</si>
  <si>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</si>
  <si>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</si>
  <si>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</si>
  <si>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</si>
  <si>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</si>
  <si>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</si>
  <si>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</si>
  <si>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</si>
  <si>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</si>
  <si>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</si>
  <si>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</si>
  <si>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</si>
  <si>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</si>
  <si>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</si>
  <si>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</si>
  <si>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</si>
  <si>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</si>
  <si>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</si>
  <si>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</si>
  <si>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</si>
  <si>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</si>
  <si>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</si>
  <si>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</si>
  <si>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</si>
  <si>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</si>
  <si>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</si>
  <si>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</si>
  <si>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</si>
  <si>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</si>
  <si>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</si>
  <si>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</si>
  <si>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</si>
  <si>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</si>
  <si>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</si>
  <si>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</si>
  <si>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</si>
  <si>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</si>
  <si>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</si>
  <si>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</si>
  <si>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</si>
  <si>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</si>
  <si>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</si>
  <si>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</si>
  <si>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</si>
  <si>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</si>
  <si>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</si>
  <si>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</si>
  <si>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</si>
  <si>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</si>
  <si>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</si>
  <si>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</si>
  <si>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</si>
  <si>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</si>
  <si>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</si>
  <si>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</si>
  <si>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</si>
  <si>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</si>
  <si>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</si>
  <si>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</si>
  <si>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</si>
  <si>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</si>
  <si>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</si>
  <si>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</si>
  <si>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</si>
  <si>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</si>
  <si>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</si>
  <si>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</si>
  <si>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</si>
  <si>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</si>
  <si>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</si>
  <si>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</si>
  <si>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</si>
  <si>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</si>
  <si>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</si>
  <si>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</si>
  <si>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</si>
  <si>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</si>
  <si>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</si>
  <si>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</si>
  <si>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</si>
  <si>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</si>
  <si>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</si>
  <si>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</si>
  <si>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</si>
  <si>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</si>
  <si>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</si>
  <si>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</si>
  <si>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</si>
  <si>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</si>
  <si>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</si>
  <si>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</si>
  <si>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</si>
  <si>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</si>
  <si>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</si>
  <si>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</si>
  <si>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</si>
  <si>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</si>
  <si>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</si>
  <si>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</si>
  <si>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</si>
  <si>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</si>
  <si>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</si>
  <si>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</si>
  <si>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</si>
  <si>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</si>
  <si>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</si>
  <si>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</si>
  <si>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</si>
  <si>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</si>
  <si>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</si>
  <si>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</si>
  <si>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</si>
  <si>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</si>
  <si>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</si>
  <si>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</si>
  <si>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</si>
  <si>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</si>
  <si>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</si>
  <si>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</si>
  <si>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</si>
  <si>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</si>
  <si>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</si>
  <si>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</si>
  <si>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</si>
  <si>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</si>
  <si>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</si>
  <si>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</si>
  <si>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</si>
  <si>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</si>
  <si>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</si>
  <si>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</si>
  <si>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</si>
  <si>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</si>
  <si>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</si>
  <si>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</si>
  <si>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</si>
  <si>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</si>
  <si>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</si>
  <si>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</si>
  <si>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</si>
  <si>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</si>
  <si>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</si>
  <si>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</si>
  <si>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</si>
  <si>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</si>
  <si>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</si>
  <si>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</si>
  <si>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</si>
  <si>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</si>
  <si>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</si>
  <si>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</si>
  <si>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</si>
  <si>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</si>
  <si>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</si>
  <si>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</si>
  <si>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</si>
  <si>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</si>
  <si>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</si>
  <si>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</si>
  <si>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</si>
  <si>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</si>
  <si>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</si>
  <si>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</si>
  <si>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</si>
  <si>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</si>
  <si>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</si>
  <si>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</si>
  <si>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</si>
  <si>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</si>
  <si>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</si>
  <si>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</si>
  <si>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</si>
  <si>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</si>
  <si>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</si>
  <si>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</si>
  <si>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</si>
  <si>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</si>
  <si>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</si>
  <si>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</si>
  <si>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</si>
  <si>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</si>
  <si>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</si>
  <si>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</si>
  <si>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</si>
  <si>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</si>
  <si>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</si>
  <si>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</si>
  <si>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</si>
  <si>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</si>
  <si>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</si>
  <si>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</si>
  <si>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</si>
  <si>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</si>
  <si>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</si>
  <si>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</si>
  <si>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</si>
  <si>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</si>
  <si>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</si>
  <si>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</si>
  <si>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</si>
  <si>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</si>
  <si>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</si>
  <si>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</si>
  <si>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</si>
  <si>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</si>
  <si>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</si>
  <si>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</si>
  <si>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</si>
  <si>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</si>
  <si>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</si>
  <si>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</si>
  <si>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</si>
  <si>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</si>
  <si>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</si>
  <si>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</si>
  <si>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</si>
  <si>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</si>
  <si>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</si>
  <si>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</si>
  <si>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</si>
  <si>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</si>
  <si>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</si>
  <si>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</si>
  <si>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</si>
  <si>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</si>
  <si>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</si>
  <si>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</si>
  <si>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</si>
  <si>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</si>
  <si>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</si>
  <si>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</si>
  <si>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</si>
  <si>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</si>
  <si>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</si>
  <si>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</si>
  <si>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</si>
  <si>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</si>
  <si>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</si>
  <si>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</si>
  <si>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</si>
  <si>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</si>
  <si>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</si>
  <si>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</si>
  <si>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</si>
  <si>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</si>
  <si>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</si>
  <si>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</si>
  <si>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</si>
  <si>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</si>
  <si>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</si>
  <si>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</si>
  <si>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</si>
  <si>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</si>
  <si>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</si>
  <si>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</si>
  <si>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</si>
  <si>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</si>
  <si>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</si>
  <si>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</si>
  <si>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</si>
  <si>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</si>
  <si>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</si>
  <si>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</si>
  <si>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</si>
  <si>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</si>
  <si>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</si>
  <si>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</si>
  <si>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</si>
  <si>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</si>
  <si>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</si>
  <si>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</si>
  <si>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</si>
  <si>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</si>
  <si>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</si>
  <si>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</si>
  <si>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</si>
  <si>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</si>
  <si>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</si>
  <si>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</si>
  <si>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</si>
  <si>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</si>
  <si>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</si>
  <si>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</si>
  <si>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</si>
  <si>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</si>
  <si>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</si>
  <si>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</si>
  <si>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</si>
  <si>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</si>
  <si>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</si>
  <si>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</si>
  <si>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</si>
  <si>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</si>
  <si>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</si>
  <si>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</si>
  <si>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</si>
  <si>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</si>
  <si>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</si>
  <si>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</si>
  <si>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</si>
  <si>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</si>
  <si>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</si>
  <si>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</si>
  <si>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</si>
  <si>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</si>
  <si>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</si>
  <si>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</si>
  <si>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</si>
  <si>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</si>
  <si>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</si>
  <si>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</si>
  <si>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</si>
  <si>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</si>
  <si>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</si>
  <si>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</si>
  <si>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</si>
  <si>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</si>
  <si>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</si>
  <si>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</si>
  <si>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</si>
  <si>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</si>
  <si>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</si>
  <si>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</si>
  <si>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</si>
  <si>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</si>
  <si>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</si>
  <si>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</si>
  <si>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</si>
  <si>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</si>
  <si>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</si>
  <si>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</si>
  <si>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</si>
  <si>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</si>
  <si>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</si>
  <si>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</si>
  <si>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</si>
  <si>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</si>
  <si>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</si>
  <si>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</si>
  <si>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</si>
  <si>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</si>
  <si>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</si>
  <si>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</si>
  <si>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</si>
  <si>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</si>
  <si>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</si>
  <si>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</si>
  <si>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</si>
  <si>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</si>
  <si>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</si>
  <si>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</si>
  <si>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</si>
  <si>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</si>
  <si>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</si>
  <si>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</si>
  <si>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</si>
  <si>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</si>
  <si>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</si>
  <si>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</si>
  <si>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</si>
  <si>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</si>
  <si>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</si>
  <si>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</si>
  <si>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</si>
  <si>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</si>
  <si>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</si>
  <si>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</si>
  <si>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</si>
  <si>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</si>
  <si>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</si>
  <si>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</si>
  <si>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</si>
  <si>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</si>
  <si>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</si>
  <si>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</si>
  <si>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</si>
  <si>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</si>
  <si>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</si>
  <si>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</si>
  <si>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</si>
  <si>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</si>
  <si>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</si>
  <si>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</si>
  <si>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</si>
  <si>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</si>
  <si>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</si>
  <si>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</si>
  <si>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</si>
  <si>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</si>
  <si>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</si>
  <si>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</si>
  <si>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</si>
  <si>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</si>
  <si>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</si>
  <si>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</si>
  <si>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</si>
  <si>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</si>
  <si>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</si>
  <si>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</si>
  <si>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</si>
  <si>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</si>
  <si>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</si>
  <si>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</si>
  <si>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</si>
  <si>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</si>
  <si>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</si>
  <si>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</si>
  <si>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</si>
  <si>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</si>
  <si>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</si>
  <si>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</si>
  <si>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</si>
  <si>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</si>
  <si>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</si>
  <si>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</si>
  <si>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</si>
  <si>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</si>
  <si>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</si>
  <si>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</si>
  <si>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</si>
  <si>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</si>
  <si>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</si>
  <si>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</si>
  <si>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</si>
  <si>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</si>
  <si>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</si>
  <si>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</si>
  <si>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</si>
  <si>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</si>
  <si>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</si>
  <si>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</si>
  <si>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</si>
  <si>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</si>
  <si>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</si>
  <si>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</si>
  <si>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</si>
  <si>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</si>
  <si>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</si>
  <si>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</si>
  <si>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</si>
  <si>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</si>
  <si>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</si>
  <si>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</si>
  <si>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</si>
  <si>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</si>
  <si>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</si>
  <si>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</si>
  <si>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</si>
  <si>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</si>
  <si>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</si>
  <si>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</si>
  <si>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</si>
  <si>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</si>
  <si>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</si>
  <si>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</si>
  <si>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</si>
  <si>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</si>
  <si>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</si>
  <si>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</si>
  <si>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</si>
  <si>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</si>
  <si>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</si>
  <si>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</si>
  <si>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</si>
  <si>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</si>
  <si>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</si>
  <si>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</si>
  <si>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</si>
  <si>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</si>
  <si>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</si>
  <si>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</si>
  <si>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</si>
  <si>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</si>
  <si>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</si>
  <si>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</si>
  <si>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</si>
  <si>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</si>
  <si>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</si>
  <si>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</si>
  <si>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</si>
  <si>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</si>
  <si>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</si>
  <si>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</si>
  <si>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</si>
  <si>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</si>
  <si>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</si>
  <si>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</si>
  <si>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</si>
  <si>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</si>
  <si>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</si>
  <si>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</si>
  <si>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</si>
  <si>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</si>
  <si>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</si>
  <si>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</si>
  <si>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</si>
  <si>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</si>
  <si>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</si>
  <si>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</si>
  <si>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</si>
  <si>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</si>
  <si>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</si>
  <si>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</si>
  <si>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</si>
  <si>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</si>
  <si>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</si>
  <si>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</si>
  <si>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</si>
  <si>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</si>
  <si>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</si>
  <si>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</si>
  <si>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</si>
  <si>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</si>
  <si>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</si>
  <si>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</si>
  <si>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</si>
  <si>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</si>
  <si>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</si>
  <si>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</si>
  <si>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</si>
  <si>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</si>
  <si>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</si>
  <si>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</si>
  <si>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</si>
  <si>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</si>
  <si>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</si>
  <si>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</si>
  <si>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</si>
  <si>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</si>
  <si>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</si>
  <si>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</si>
  <si>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</si>
  <si>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</si>
  <si>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</si>
  <si>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</si>
  <si>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</si>
  <si>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</si>
  <si>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</si>
  <si>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</si>
  <si>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</si>
  <si>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</si>
  <si>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</si>
  <si>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</si>
  <si>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</si>
  <si>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</si>
  <si>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</si>
  <si>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</si>
  <si>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</si>
  <si>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</si>
  <si>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</si>
  <si>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</si>
  <si>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</si>
  <si>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</si>
  <si>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</si>
  <si>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</si>
  <si>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</si>
  <si>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</si>
  <si>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</si>
  <si>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</si>
  <si>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</si>
  <si>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</si>
  <si>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</si>
  <si>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</si>
  <si>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</si>
  <si>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</si>
  <si>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</si>
  <si>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</si>
  <si>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</si>
  <si>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</si>
  <si>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</si>
  <si>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</si>
  <si>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</si>
  <si>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</si>
  <si>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</si>
  <si>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</si>
  <si>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</si>
  <si>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</si>
  <si>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</si>
  <si>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</si>
  <si>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</si>
  <si>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</si>
  <si>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</si>
  <si>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</si>
  <si>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</si>
  <si>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</si>
  <si>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</si>
  <si>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</si>
  <si>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</si>
  <si>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</si>
  <si>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</si>
  <si>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</si>
  <si>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</si>
  <si>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</si>
  <si>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</si>
  <si>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</si>
  <si>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</si>
  <si>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</si>
  <si>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</si>
  <si>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</si>
  <si>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</si>
  <si>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</si>
  <si>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</si>
  <si>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</si>
  <si>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</si>
  <si>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</si>
  <si>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</si>
  <si>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</si>
  <si>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</si>
  <si>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</si>
  <si>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</si>
  <si>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</si>
  <si>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</si>
  <si>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</si>
  <si>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</si>
  <si>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</si>
  <si>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</si>
  <si>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</si>
  <si>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</si>
  <si>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</si>
  <si>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</si>
  <si>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</si>
  <si>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</si>
  <si>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</si>
  <si>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</si>
  <si>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</si>
  <si>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</si>
  <si>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</si>
  <si>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</si>
  <si>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</si>
  <si>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</si>
  <si>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</si>
  <si>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</si>
  <si>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</si>
  <si>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</si>
  <si>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</si>
  <si>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</si>
  <si>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</si>
  <si>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</si>
  <si>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</si>
  <si>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</si>
  <si>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</si>
  <si>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</si>
  <si>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</si>
  <si>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</si>
  <si>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</si>
  <si>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</si>
  <si>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</si>
  <si>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</si>
  <si>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</si>
  <si>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</si>
  <si>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</si>
  <si>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</si>
  <si>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</si>
  <si>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</si>
  <si>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</si>
  <si>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</si>
  <si>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</si>
  <si>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</si>
  <si>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</si>
  <si>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</si>
  <si>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</si>
  <si>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</si>
  <si>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</si>
  <si>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</si>
  <si>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</si>
  <si>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</si>
  <si>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</si>
  <si>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</si>
  <si>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</si>
  <si>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</si>
  <si>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</si>
  <si>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</si>
  <si>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</si>
  <si>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</si>
  <si>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</si>
  <si>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</si>
  <si>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</si>
  <si>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</si>
  <si>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</si>
  <si>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</si>
  <si>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</si>
  <si>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</si>
  <si>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</si>
  <si>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</si>
  <si>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</si>
  <si>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</si>
  <si>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</si>
  <si>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</si>
  <si>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</si>
  <si>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</si>
  <si>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</si>
  <si>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</si>
  <si>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</si>
  <si>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</si>
  <si>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</si>
  <si>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</si>
  <si>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</si>
  <si>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</si>
  <si>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</si>
  <si>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</si>
  <si>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</si>
  <si>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</si>
  <si>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</si>
  <si>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</si>
  <si>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</si>
  <si>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</si>
  <si>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</si>
  <si>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</si>
  <si>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</si>
  <si>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</si>
  <si>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</si>
  <si>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</si>
  <si>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</si>
  <si>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</si>
  <si>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</si>
  <si>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</si>
  <si>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</si>
  <si>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</si>
  <si>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</si>
  <si>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</si>
  <si>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</si>
  <si>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</si>
  <si>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</si>
  <si>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</si>
  <si>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</si>
  <si>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</si>
  <si>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</si>
  <si>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</si>
  <si>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</si>
  <si>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</si>
  <si>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</si>
  <si>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</si>
  <si>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</si>
  <si>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</si>
  <si>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</si>
  <si>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</si>
  <si>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</si>
  <si>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</si>
  <si>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</si>
  <si>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</si>
  <si>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</si>
  <si>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</si>
  <si>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</si>
  <si>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</si>
  <si>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</si>
  <si>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</si>
  <si>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</si>
  <si>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</si>
  <si>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</si>
  <si>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</si>
  <si>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</si>
  <si>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</si>
  <si>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</si>
  <si>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</si>
  <si>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</si>
  <si>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</si>
  <si>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</si>
  <si>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</si>
  <si>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</si>
  <si>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</si>
  <si>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</si>
  <si>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</si>
  <si>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</si>
  <si>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</si>
  <si>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</si>
  <si>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</si>
  <si>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</si>
  <si>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</si>
  <si>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</si>
  <si>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</si>
  <si>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</si>
  <si>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</si>
  <si>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</si>
  <si>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</si>
  <si>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</si>
  <si>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</si>
  <si>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</si>
  <si>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</si>
  <si>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</si>
  <si>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</si>
  <si>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</si>
  <si>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</si>
  <si>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</si>
  <si>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</si>
  <si>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</si>
  <si>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</si>
  <si>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</si>
  <si>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</si>
  <si>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</si>
  <si>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</si>
  <si>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</si>
  <si>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</si>
  <si>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</si>
  <si>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</si>
  <si>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</si>
  <si>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</si>
  <si>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</si>
  <si>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</si>
  <si>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</si>
  <si>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</si>
  <si>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</si>
  <si>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</si>
  <si>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</si>
  <si>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</si>
  <si>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</si>
  <si>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</si>
  <si>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</si>
  <si>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</si>
  <si>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</si>
  <si>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</si>
  <si>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</si>
  <si>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</si>
  <si>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</si>
  <si>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</si>
  <si>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</si>
  <si>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</si>
  <si>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</si>
  <si>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</si>
  <si>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</si>
  <si>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</si>
  <si>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</si>
  <si>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</si>
  <si>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</si>
  <si>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</si>
  <si>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</si>
  <si>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</si>
  <si>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</si>
  <si>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</si>
  <si>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</si>
  <si>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</si>
  <si>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</si>
  <si>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</si>
  <si>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</si>
  <si>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</si>
  <si>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</si>
  <si>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</si>
  <si>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</si>
  <si>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</si>
  <si>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</si>
  <si>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</si>
  <si>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</si>
  <si>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</si>
  <si>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</si>
  <si>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</si>
  <si>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</si>
  <si>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</si>
  <si>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</si>
  <si>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</si>
  <si>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</si>
  <si>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</si>
  <si>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</si>
  <si>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</si>
  <si>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</si>
  <si>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</si>
  <si>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</si>
  <si>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</si>
  <si>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</si>
  <si>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</si>
  <si>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</si>
  <si>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</si>
  <si>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</si>
  <si>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</si>
  <si>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</si>
  <si>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</si>
  <si>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</si>
  <si>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</si>
  <si>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</si>
  <si>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</si>
  <si>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</si>
  <si>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</si>
  <si>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</si>
  <si>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</si>
  <si>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</si>
  <si>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</si>
  <si>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</si>
  <si>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</si>
  <si>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</si>
  <si>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</si>
  <si>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</si>
  <si>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</si>
  <si>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</si>
  <si>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</si>
  <si>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</si>
  <si>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</si>
  <si>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</si>
  <si>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</si>
  <si>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</si>
  <si>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</si>
  <si>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</si>
  <si>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</si>
  <si>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</si>
  <si>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</si>
  <si>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</si>
  <si>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</si>
  <si>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</si>
  <si>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</si>
  <si>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</si>
  <si>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</si>
  <si>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</si>
  <si>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</si>
  <si>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</si>
  <si>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</si>
  <si>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</si>
  <si>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</si>
  <si>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</si>
  <si>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</si>
  <si>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</si>
  <si>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</si>
  <si>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</si>
  <si>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</si>
  <si>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</si>
  <si>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</si>
  <si>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</si>
  <si>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</si>
  <si>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</si>
  <si>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</si>
  <si>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</si>
  <si>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</si>
  <si>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</si>
  <si>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</si>
  <si>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</si>
  <si>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</si>
  <si>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</si>
  <si>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</si>
  <si>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</si>
  <si>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</si>
  <si>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</si>
  <si>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</si>
  <si>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</si>
  <si>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</si>
  <si>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</si>
  <si>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</si>
  <si>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</si>
  <si>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</si>
  <si>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</si>
  <si>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</si>
  <si>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</si>
  <si>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</si>
  <si>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</si>
  <si>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</si>
  <si>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</si>
  <si>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</si>
  <si>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</si>
  <si>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</si>
  <si>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</si>
  <si>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</si>
  <si>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</si>
  <si>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</si>
  <si>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</si>
  <si>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</si>
  <si>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</si>
  <si>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</si>
  <si>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</si>
  <si>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</si>
  <si>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</si>
  <si>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</si>
  <si>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</si>
  <si>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</si>
  <si>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</si>
  <si>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</si>
  <si>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</si>
  <si>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</si>
  <si>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</si>
  <si>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</si>
  <si>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</si>
  <si>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</si>
  <si>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</si>
  <si>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</si>
  <si>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</si>
  <si>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</si>
  <si>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</si>
  <si>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</si>
  <si>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</si>
  <si>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</si>
  <si>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</si>
  <si>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</si>
  <si>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</si>
  <si>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</si>
  <si>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</si>
  <si>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</si>
  <si>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</si>
  <si>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</si>
  <si>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</si>
  <si>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</si>
  <si>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</si>
  <si>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</si>
  <si>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</si>
  <si>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</si>
  <si>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</si>
  <si>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</si>
  <si>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</si>
  <si>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</si>
  <si>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</si>
  <si>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</si>
  <si>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</si>
  <si>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</si>
  <si>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</si>
  <si>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</si>
  <si>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</si>
  <si>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</si>
  <si>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</si>
  <si>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</si>
  <si>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</si>
  <si>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</si>
  <si>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</si>
  <si>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</si>
  <si>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</si>
  <si>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</si>
  <si>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</si>
  <si>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</si>
  <si>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</si>
  <si>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</si>
  <si>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</si>
  <si>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</si>
  <si>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</si>
  <si>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</si>
  <si>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</si>
  <si>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</si>
  <si>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</si>
  <si>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</si>
  <si>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</si>
  <si>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</si>
  <si>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</si>
  <si>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</si>
  <si>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</si>
  <si>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</si>
  <si>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</si>
  <si>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</si>
  <si>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</si>
  <si>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</si>
  <si>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</si>
  <si>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</si>
  <si>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</si>
  <si>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</si>
  <si>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</si>
  <si>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</si>
  <si>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</si>
  <si>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</si>
  <si>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</si>
  <si>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</si>
  <si>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</si>
  <si>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</si>
  <si>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</si>
  <si>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</si>
  <si>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</si>
  <si>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</si>
  <si>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</si>
  <si>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</si>
  <si>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</si>
  <si>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</si>
  <si>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</si>
  <si>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</si>
  <si>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</si>
  <si>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</si>
  <si>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</si>
  <si>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</si>
  <si>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</si>
  <si>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</si>
  <si>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</si>
  <si>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</si>
  <si>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</si>
  <si>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</si>
  <si>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</si>
  <si>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</si>
  <si>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</si>
  <si>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</si>
  <si>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</si>
  <si>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</si>
  <si>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</si>
  <si>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</si>
  <si>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</si>
  <si>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</si>
  <si>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</si>
  <si>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</si>
  <si>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</si>
  <si>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</si>
  <si>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</si>
  <si>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</si>
  <si>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</si>
  <si>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</si>
  <si>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</si>
  <si>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</si>
  <si>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</si>
  <si>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</si>
  <si>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</si>
  <si>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</si>
  <si>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</si>
  <si>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</si>
  <si>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</si>
  <si>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</si>
  <si>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</si>
  <si>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</si>
  <si>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</si>
  <si>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</si>
  <si>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</si>
  <si>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</si>
  <si>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</si>
  <si>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</si>
  <si>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</si>
  <si>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</si>
  <si>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</si>
  <si>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</si>
  <si>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</si>
  <si>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</si>
  <si>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</si>
  <si>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</si>
  <si>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</si>
  <si>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</si>
  <si>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</si>
  <si>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</si>
  <si>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</si>
  <si>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</si>
  <si>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</si>
  <si>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</si>
  <si>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</si>
  <si>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</si>
  <si>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</si>
  <si>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</si>
  <si>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</si>
  <si>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</si>
  <si>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</si>
  <si>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</si>
  <si>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</si>
  <si>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</si>
  <si>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</si>
  <si>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</si>
  <si>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</si>
  <si>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</si>
  <si>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</si>
  <si>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</si>
  <si>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</si>
  <si>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</si>
  <si>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</si>
  <si>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</si>
  <si>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</si>
  <si>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</si>
  <si>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</si>
  <si>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</si>
  <si>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</si>
  <si>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</si>
  <si>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</si>
  <si>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</si>
  <si>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</si>
  <si>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</si>
  <si>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</si>
  <si>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</si>
  <si>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</si>
  <si>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</si>
  <si>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</si>
  <si>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</si>
  <si>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</si>
  <si>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</si>
  <si>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</si>
  <si>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</si>
  <si>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</si>
  <si>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</si>
  <si>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</si>
  <si>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</si>
  <si>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</si>
  <si>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</si>
  <si>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</si>
  <si>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</si>
  <si>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</si>
  <si>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</si>
  <si>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</si>
  <si>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</si>
  <si>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</si>
  <si>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</si>
  <si>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</si>
  <si>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</si>
  <si>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</si>
  <si>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</si>
  <si>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</si>
  <si>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</si>
  <si>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</si>
  <si>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</si>
  <si>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</si>
  <si>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</si>
  <si>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</si>
  <si>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</si>
  <si>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</si>
  <si>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</si>
  <si>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</si>
  <si>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</si>
  <si>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</si>
  <si>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</si>
  <si>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</si>
  <si>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</si>
  <si>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</si>
  <si>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</si>
  <si>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</si>
  <si>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</si>
  <si>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</si>
  <si>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</si>
  <si>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</si>
  <si>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</si>
  <si>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</si>
  <si>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</si>
  <si>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</si>
  <si>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</si>
  <si>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</si>
  <si>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</si>
  <si>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</si>
  <si>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</si>
  <si>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</si>
  <si>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</si>
  <si>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</si>
  <si>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</si>
  <si>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</si>
  <si>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</si>
  <si>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</si>
  <si>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</si>
  <si>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</si>
  <si>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</si>
  <si>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</si>
  <si>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</si>
  <si>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</si>
  <si>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</si>
  <si>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</si>
  <si>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</si>
  <si>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</si>
  <si>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</si>
  <si>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</si>
  <si>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</si>
  <si>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</si>
  <si>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</si>
  <si>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</si>
  <si>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</si>
  <si>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</si>
  <si>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</si>
  <si>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</si>
  <si>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</si>
  <si>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</si>
  <si>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</si>
  <si>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</si>
  <si>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</si>
  <si>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</si>
  <si>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</si>
  <si>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</si>
  <si>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</si>
  <si>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</si>
  <si>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</si>
  <si>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</si>
  <si>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</si>
  <si>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</si>
  <si>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</si>
  <si>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</si>
  <si>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</si>
  <si>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</si>
  <si>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</si>
  <si>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</si>
  <si>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</si>
  <si>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</si>
  <si>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</si>
  <si>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</si>
  <si>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</si>
  <si>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</si>
  <si>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</si>
  <si>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</si>
  <si>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</si>
  <si>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</si>
  <si>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</si>
  <si>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</si>
  <si>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</si>
  <si>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</si>
  <si>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</si>
  <si>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</si>
  <si>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</si>
  <si>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</si>
  <si>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</si>
  <si>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</si>
  <si>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</si>
  <si>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</si>
  <si>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</si>
  <si>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</si>
  <si>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</si>
  <si>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</si>
  <si>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</si>
  <si>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</si>
  <si>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</si>
  <si>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</si>
  <si>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</si>
  <si>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</si>
  <si>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</si>
  <si>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</si>
  <si>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</si>
  <si>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</si>
  <si>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</si>
  <si>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</si>
  <si>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</si>
  <si>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</si>
  <si>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</si>
  <si>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</si>
  <si>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</si>
  <si>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</si>
  <si>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</si>
  <si>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</si>
  <si>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</si>
  <si>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</si>
  <si>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</si>
  <si>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</si>
  <si>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</si>
  <si>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</si>
  <si>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</si>
  <si>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</si>
  <si>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</si>
  <si>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</si>
  <si>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</si>
  <si>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</si>
  <si>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</si>
  <si>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</si>
  <si>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</si>
  <si>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</si>
  <si>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</si>
  <si>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</si>
  <si>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</si>
  <si>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</si>
  <si>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</si>
  <si>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</si>
  <si>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</si>
  <si>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</si>
  <si>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</si>
  <si>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</si>
  <si>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</si>
  <si>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</si>
  <si>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</si>
  <si>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</si>
  <si>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</si>
  <si>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</si>
  <si>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</si>
  <si>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</si>
  <si>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</si>
  <si>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</si>
  <si>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</si>
  <si>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</si>
  <si>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</si>
  <si>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</si>
  <si>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</si>
  <si>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</si>
  <si>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</si>
  <si>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</si>
  <si>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</si>
  <si>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</si>
  <si>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</si>
  <si>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</si>
  <si>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</si>
  <si>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</si>
  <si>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</si>
  <si>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</si>
  <si>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</si>
  <si>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</si>
  <si>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</si>
  <si>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</si>
  <si>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</si>
  <si>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</si>
  <si>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</si>
  <si>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</si>
  <si>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</si>
  <si>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</si>
  <si>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</si>
  <si>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</si>
  <si>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</si>
  <si>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</si>
  <si>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</si>
  <si>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</si>
  <si>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</si>
  <si>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</si>
  <si>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</si>
  <si>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</si>
  <si>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</si>
  <si>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</si>
  <si>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</si>
  <si>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</si>
  <si>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</si>
  <si>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</si>
  <si>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</si>
  <si>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</si>
  <si>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</si>
  <si>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</si>
  <si>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</si>
  <si>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</si>
  <si>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</si>
  <si>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</si>
  <si>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</si>
  <si>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</si>
  <si>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</si>
  <si>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</si>
  <si>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</si>
  <si>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</si>
  <si>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</si>
  <si>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</si>
  <si>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</si>
  <si>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</si>
  <si>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</si>
  <si>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</si>
  <si>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</si>
  <si>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</si>
  <si>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</si>
  <si>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</si>
  <si>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</si>
  <si>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</si>
  <si>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</si>
  <si>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</si>
  <si>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</si>
  <si>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</si>
  <si>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</si>
  <si>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</si>
  <si>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</si>
  <si>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</si>
  <si>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</si>
  <si>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</si>
  <si>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</si>
  <si>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</si>
  <si>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</si>
  <si>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</si>
  <si>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</si>
  <si>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</si>
  <si>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</si>
  <si>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</si>
  <si>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</si>
  <si>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</si>
  <si>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</si>
  <si>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</si>
  <si>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</si>
  <si>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</si>
  <si>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</si>
  <si>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</si>
  <si>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</si>
  <si>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</si>
  <si>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</si>
  <si>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</si>
  <si>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</si>
  <si>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</si>
  <si>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</si>
  <si>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</si>
  <si>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</si>
  <si>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</si>
  <si>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</si>
  <si>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</si>
  <si>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</si>
  <si>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</si>
  <si>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</si>
  <si>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</si>
  <si>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</si>
  <si>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</si>
  <si>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</si>
  <si>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</si>
  <si>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</si>
  <si>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</si>
  <si>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</si>
  <si>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</si>
  <si>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</si>
  <si>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</si>
  <si>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</si>
  <si>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</si>
  <si>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</si>
  <si>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</si>
  <si>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</si>
  <si>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</si>
  <si>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</si>
  <si>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</si>
  <si>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</si>
  <si>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</si>
  <si>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</si>
  <si>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</si>
  <si>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</si>
  <si>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</si>
  <si>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</si>
  <si>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</si>
  <si>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</si>
  <si>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</si>
  <si>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</si>
  <si>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</si>
  <si>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</si>
  <si>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</si>
  <si>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</si>
  <si>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</si>
  <si>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</si>
  <si>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</si>
  <si>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</si>
  <si>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</si>
  <si>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</si>
  <si>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</si>
  <si>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</si>
  <si>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</si>
  <si>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</si>
  <si>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</si>
  <si>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</si>
  <si>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</si>
  <si>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</si>
  <si>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</si>
  <si>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</si>
  <si>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</si>
  <si>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</si>
  <si>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</si>
  <si>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</si>
  <si>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</si>
  <si>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</si>
  <si>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</si>
  <si>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</si>
  <si>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</si>
  <si>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</si>
  <si>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</si>
  <si>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</si>
  <si>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</si>
  <si>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</si>
  <si>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</si>
  <si>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</si>
  <si>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</si>
  <si>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</si>
  <si>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</si>
  <si>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</si>
  <si>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</si>
  <si>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</si>
  <si>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</si>
  <si>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</si>
  <si>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</si>
  <si>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</si>
  <si>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</si>
  <si>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</si>
  <si>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</si>
  <si>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</si>
  <si>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</si>
  <si>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</si>
  <si>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</si>
  <si>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</si>
  <si>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</si>
  <si>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</si>
  <si>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</si>
  <si>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</si>
  <si>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</si>
  <si>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</si>
  <si>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</si>
  <si>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</si>
  <si>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</si>
  <si>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</si>
  <si>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</si>
  <si>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</si>
  <si>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</si>
  <si>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</si>
  <si>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</si>
  <si>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</si>
  <si>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</si>
  <si>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</si>
  <si>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</si>
  <si>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</si>
  <si>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</si>
  <si>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</si>
  <si>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</si>
  <si>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</si>
  <si>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</si>
  <si>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</si>
  <si>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</si>
  <si>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</si>
  <si>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</si>
  <si>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</si>
  <si>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</si>
  <si>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</si>
  <si>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</si>
  <si>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</si>
  <si>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</si>
  <si>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</si>
  <si>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</si>
  <si>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</si>
  <si>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</si>
  <si>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</si>
  <si>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</si>
  <si>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</si>
  <si>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</si>
  <si>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</si>
  <si>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</si>
  <si>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</si>
  <si>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</si>
  <si>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</si>
  <si>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</si>
  <si>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</si>
  <si>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</si>
  <si>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</si>
  <si>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</si>
  <si>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</si>
  <si>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</si>
  <si>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</si>
  <si>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</si>
  <si>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</si>
  <si>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</si>
  <si>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</si>
  <si>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</si>
  <si>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</si>
  <si>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</si>
  <si>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</si>
  <si>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</si>
  <si>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</si>
  <si>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</si>
  <si>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</si>
  <si>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</si>
  <si>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</si>
  <si>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</si>
  <si>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</si>
  <si>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</si>
  <si>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</si>
  <si>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</si>
  <si>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</si>
  <si>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</si>
  <si>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</si>
  <si>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</si>
  <si>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</si>
  <si>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</si>
  <si>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</si>
  <si>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</si>
  <si>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</si>
  <si>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</si>
  <si>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</si>
  <si>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</si>
  <si>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</si>
  <si>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</si>
  <si>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</si>
  <si>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</si>
  <si>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</si>
  <si>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</si>
  <si>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</si>
  <si>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</si>
  <si>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</si>
  <si>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</si>
  <si>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</si>
  <si>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</si>
  <si>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</si>
  <si>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</si>
  <si>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</si>
  <si>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</si>
  <si>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</si>
  <si>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</si>
  <si>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</si>
  <si>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</si>
  <si>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</si>
  <si>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</si>
  <si>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</si>
  <si>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</si>
  <si>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</si>
  <si>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</si>
  <si>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</si>
  <si>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</si>
  <si>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</si>
  <si>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</si>
  <si>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</si>
  <si>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</si>
  <si>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</si>
  <si>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</si>
  <si>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</si>
  <si>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</si>
  <si>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</si>
  <si>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</si>
  <si>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</si>
  <si>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</si>
  <si>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</si>
  <si>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</si>
  <si>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</si>
  <si>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</si>
  <si>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</si>
  <si>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</si>
  <si>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</si>
  <si>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</si>
  <si>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</si>
  <si>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</si>
  <si>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</si>
  <si>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</si>
  <si>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</si>
  <si>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</si>
  <si>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</si>
  <si>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</si>
  <si>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</si>
  <si>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</si>
  <si>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</si>
  <si>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</si>
  <si>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</si>
  <si>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</si>
  <si>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</si>
  <si>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</si>
  <si>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</si>
  <si>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</si>
  <si>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</si>
  <si>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</si>
  <si>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</si>
  <si>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</si>
  <si>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</si>
  <si>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</si>
  <si>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</si>
  <si>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</si>
  <si>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</si>
  <si>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</si>
  <si>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</si>
  <si>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</si>
  <si>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</si>
  <si>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</si>
  <si>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</si>
  <si>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</si>
  <si>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</si>
  <si>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</si>
  <si>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</si>
  <si>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</si>
  <si>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</si>
  <si>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</si>
  <si>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</si>
  <si>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</si>
  <si>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</si>
  <si>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</si>
  <si>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</si>
  <si>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</si>
  <si>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</si>
  <si>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</si>
  <si>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</si>
  <si>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</si>
  <si>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</si>
  <si>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</si>
  <si>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</si>
  <si>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</si>
  <si>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</si>
  <si>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</si>
  <si>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</si>
  <si>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</si>
  <si>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</si>
  <si>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</si>
  <si>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</si>
  <si>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</si>
  <si>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</si>
  <si>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</si>
  <si>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</si>
  <si>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</si>
  <si>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</si>
  <si>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</si>
  <si>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</si>
  <si>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</si>
  <si>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</si>
  <si>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</si>
  <si>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</si>
  <si>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</si>
  <si>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</si>
  <si>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</si>
  <si>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</si>
  <si>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</si>
  <si>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</si>
  <si>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</si>
  <si>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</si>
  <si>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</si>
  <si>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</si>
  <si>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</si>
  <si>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</si>
  <si>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</si>
  <si>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</si>
  <si>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</si>
  <si>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</si>
  <si>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</si>
  <si>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</si>
  <si>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</si>
  <si>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</si>
  <si>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</si>
  <si>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</si>
  <si>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</si>
  <si>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</si>
  <si>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</si>
  <si>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</si>
  <si>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</si>
  <si>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</si>
  <si>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</si>
  <si>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</si>
  <si>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</si>
  <si>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</si>
  <si>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</si>
  <si>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</si>
  <si>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</si>
  <si>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</si>
  <si>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</si>
  <si>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</si>
  <si>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</si>
  <si>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</si>
  <si>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</si>
  <si>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</si>
  <si>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</si>
  <si>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</si>
  <si>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</si>
  <si>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</si>
  <si>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</si>
  <si>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</si>
  <si>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</si>
  <si>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</si>
  <si>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</si>
  <si>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</si>
  <si>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</si>
  <si>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</si>
  <si>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</si>
  <si>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</si>
  <si>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</si>
  <si>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</si>
  <si>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</si>
  <si>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</si>
  <si>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</si>
  <si>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</si>
  <si>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</si>
  <si>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</si>
  <si>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</si>
  <si>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</si>
  <si>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</si>
  <si>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</si>
  <si>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</si>
  <si>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</si>
  <si>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</si>
  <si>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</si>
  <si>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</si>
  <si>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</si>
  <si>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</si>
  <si>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</si>
  <si>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</si>
  <si>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</si>
  <si>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</si>
  <si>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</si>
  <si>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</si>
  <si>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</si>
  <si>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</si>
  <si>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</si>
  <si>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</si>
  <si>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</si>
  <si>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</si>
  <si>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</si>
  <si>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</si>
  <si>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</si>
  <si>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</si>
  <si>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</si>
  <si>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</si>
  <si>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</si>
  <si>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</si>
  <si>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</si>
  <si>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</si>
  <si>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</si>
  <si>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</si>
  <si>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</si>
  <si>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</si>
  <si>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</si>
  <si>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</si>
  <si>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</si>
  <si>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</si>
  <si>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</si>
  <si>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</si>
  <si>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</si>
  <si>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</si>
  <si>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</si>
  <si>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</si>
  <si>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</si>
  <si>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</si>
  <si>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</si>
  <si>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</si>
  <si>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</si>
  <si>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</si>
  <si>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</si>
  <si>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</si>
  <si>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</si>
  <si>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</si>
  <si>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</si>
  <si>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</si>
  <si>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</si>
  <si>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</si>
  <si>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</si>
  <si>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</si>
  <si>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</si>
  <si>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</si>
  <si>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</si>
  <si>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</si>
  <si>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</si>
  <si>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</si>
  <si>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</si>
  <si>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</si>
  <si>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</si>
  <si>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</si>
  <si>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</si>
  <si>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</si>
  <si>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</si>
  <si>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</si>
  <si>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</si>
  <si>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</si>
  <si>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</si>
  <si>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</si>
  <si>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</si>
  <si>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</si>
  <si>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</si>
  <si>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</si>
  <si>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</si>
  <si>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</si>
  <si>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</si>
  <si>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</si>
  <si>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</si>
  <si>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</si>
  <si>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</si>
  <si>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</si>
  <si>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</si>
  <si>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</si>
  <si>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</si>
  <si>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</si>
  <si>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</si>
  <si>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</si>
  <si>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</si>
  <si>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</si>
  <si>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</si>
  <si>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</si>
  <si>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</si>
  <si>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</si>
  <si>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</si>
  <si>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</si>
  <si>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</si>
  <si>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</si>
  <si>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</si>
  <si>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</si>
  <si>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</si>
  <si>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</si>
  <si>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</si>
  <si>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</si>
  <si>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</si>
  <si>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</si>
  <si>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</si>
  <si>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</si>
  <si>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</si>
  <si>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</si>
  <si>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</si>
  <si>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</si>
  <si>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</si>
  <si>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</si>
  <si>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</si>
  <si>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</si>
  <si>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</si>
  <si>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</si>
  <si>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</si>
  <si>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</si>
  <si>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</si>
  <si>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</si>
  <si>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</si>
  <si>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</si>
  <si>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</si>
  <si>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</si>
  <si>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</si>
  <si>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</si>
  <si>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</si>
  <si>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</si>
  <si>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</si>
  <si>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</si>
  <si>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</si>
  <si>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</si>
  <si>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</si>
  <si>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</si>
  <si>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</si>
  <si>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</si>
  <si>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</si>
  <si>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</si>
  <si>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</si>
  <si>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</si>
  <si>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</si>
  <si>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</si>
  <si>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</si>
  <si>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</si>
  <si>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</si>
  <si>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</si>
  <si>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</si>
  <si>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</si>
  <si>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</si>
  <si>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</si>
  <si>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</si>
  <si>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</si>
  <si>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</si>
  <si>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</si>
  <si>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</si>
  <si>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</si>
  <si>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</si>
  <si>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</si>
  <si>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</si>
  <si>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</si>
  <si>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</si>
  <si>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</si>
  <si>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</si>
  <si>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</si>
  <si>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</si>
  <si>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</si>
  <si>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</si>
  <si>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</si>
  <si>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</si>
  <si>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</si>
  <si>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</si>
  <si>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</si>
  <si>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</si>
  <si>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</si>
  <si>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</si>
  <si>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</si>
  <si>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</si>
  <si>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</si>
  <si>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</si>
  <si>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</si>
  <si>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</si>
  <si>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</si>
  <si>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</si>
  <si>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</si>
  <si>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</si>
  <si>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</si>
  <si>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</si>
  <si>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</si>
  <si>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</si>
  <si>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</si>
  <si>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</si>
  <si>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</si>
  <si>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</si>
  <si>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</si>
  <si>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</si>
  <si>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</si>
  <si>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</si>
  <si>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</si>
  <si>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</si>
  <si>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</si>
  <si>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</si>
  <si>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</si>
  <si>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</si>
  <si>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</si>
  <si>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</si>
  <si>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</si>
  <si>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</si>
  <si>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</si>
  <si>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</si>
  <si>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</si>
  <si>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</si>
  <si>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</si>
  <si>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</si>
  <si>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</si>
  <si>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</si>
  <si>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</si>
  <si>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</si>
  <si>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</si>
  <si>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</si>
  <si>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</si>
  <si>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</si>
  <si>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</si>
  <si>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</si>
  <si>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</si>
  <si>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</si>
  <si>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</si>
  <si>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</si>
  <si>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</si>
  <si>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</si>
  <si>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</si>
  <si>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</si>
  <si>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</si>
  <si>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</si>
  <si>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</si>
  <si>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</si>
  <si>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</si>
  <si>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</si>
  <si>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</si>
  <si>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</si>
  <si>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</si>
  <si>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</si>
  <si>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</si>
  <si>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</si>
  <si>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</si>
  <si>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</si>
  <si>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</si>
  <si>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</si>
  <si>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</si>
  <si>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</si>
  <si>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</si>
  <si>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</si>
  <si>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</si>
  <si>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</si>
  <si>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</si>
  <si>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</si>
  <si>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</si>
  <si>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</si>
  <si>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</si>
  <si>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</si>
  <si>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</si>
  <si>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</si>
  <si>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</si>
  <si>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</si>
  <si>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</si>
  <si>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</si>
  <si>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</si>
  <si>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</si>
  <si>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</si>
  <si>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</si>
  <si>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</si>
  <si>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</si>
  <si>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</si>
  <si>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</si>
  <si>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</si>
  <si>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</si>
  <si>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</si>
  <si>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</si>
  <si>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</si>
  <si>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</si>
  <si>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</si>
  <si>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</si>
  <si>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</si>
  <si>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</si>
  <si>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</si>
  <si>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</si>
  <si>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</si>
  <si>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</si>
  <si>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</si>
  <si>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</si>
  <si>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</si>
  <si>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</si>
  <si>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</si>
  <si>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</si>
  <si>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</si>
  <si>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</si>
  <si>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</si>
  <si>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</si>
  <si>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</si>
  <si>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</si>
  <si>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</si>
  <si>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</si>
  <si>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</si>
  <si>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</si>
  <si>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</si>
  <si>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</si>
  <si>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</si>
  <si>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</si>
  <si>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</si>
  <si>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</si>
  <si>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</si>
  <si>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</si>
  <si>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</si>
  <si>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</si>
  <si>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</si>
  <si>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</si>
  <si>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</si>
  <si>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</si>
  <si>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</si>
  <si>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</si>
  <si>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</si>
  <si>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</si>
  <si>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</si>
  <si>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</si>
  <si>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</si>
  <si>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</si>
  <si>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</si>
  <si>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</si>
  <si>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</si>
  <si>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</si>
  <si>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</si>
  <si>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</si>
  <si>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</si>
  <si>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</si>
  <si>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</si>
  <si>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</si>
  <si>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</si>
  <si>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</si>
  <si>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</si>
  <si>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</si>
  <si>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</si>
  <si>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</si>
  <si>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</si>
  <si>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</si>
  <si>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</si>
  <si>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</si>
  <si>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</si>
  <si>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</si>
  <si>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</si>
  <si>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</si>
  <si>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</si>
  <si>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</si>
  <si>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</si>
  <si>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</si>
  <si>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</si>
  <si>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</si>
  <si>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</si>
  <si>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</si>
  <si>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</si>
  <si>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</si>
  <si>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</si>
  <si>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</si>
  <si>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</si>
  <si>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</si>
  <si>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</si>
  <si>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</si>
  <si>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</si>
  <si>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</si>
  <si>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</si>
  <si>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</si>
  <si>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</si>
  <si>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</si>
  <si>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</si>
  <si>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</si>
  <si>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</si>
  <si>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</si>
  <si>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</si>
  <si>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</si>
  <si>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</si>
  <si>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</si>
  <si>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</si>
  <si>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</si>
  <si>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</si>
  <si>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</si>
  <si>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</si>
  <si>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</si>
  <si>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</si>
  <si>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</si>
  <si>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</si>
  <si>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</si>
  <si>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</si>
  <si>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</si>
  <si>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</si>
  <si>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</si>
  <si>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</si>
  <si>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</si>
  <si>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</si>
  <si>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</si>
  <si>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</si>
  <si>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</si>
  <si>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</si>
  <si>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</si>
  <si>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</si>
  <si>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</si>
  <si>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</si>
  <si>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</si>
  <si>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</si>
  <si>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</si>
  <si>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</si>
  <si>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</si>
  <si>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</si>
  <si>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</si>
  <si>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</si>
  <si>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</si>
  <si>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</si>
  <si>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</si>
  <si>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</si>
  <si>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</si>
  <si>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</si>
  <si>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</si>
  <si>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</si>
  <si>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</si>
  <si>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</si>
  <si>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</si>
  <si>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</si>
  <si>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</si>
  <si>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</si>
  <si>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</si>
  <si>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</si>
  <si>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</si>
  <si>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</si>
  <si>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</si>
  <si>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</si>
  <si>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</si>
  <si>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</si>
  <si>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</si>
  <si>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</si>
  <si>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</si>
  <si>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</si>
  <si>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</si>
  <si>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</si>
  <si>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</si>
  <si>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</si>
  <si>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</si>
  <si>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</si>
  <si>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</si>
  <si>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</si>
  <si>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</si>
  <si>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</si>
  <si>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</si>
  <si>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</si>
  <si>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</si>
  <si>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</si>
  <si>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</si>
  <si>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</si>
  <si>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</si>
  <si>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</si>
  <si>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</si>
  <si>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</si>
  <si>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</si>
  <si>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</si>
  <si>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</si>
  <si>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</si>
  <si>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</si>
  <si>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</si>
  <si>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</si>
  <si>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</si>
  <si>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</si>
  <si>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</si>
  <si>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</si>
  <si>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</si>
  <si>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</si>
  <si>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</si>
  <si>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</si>
  <si>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</si>
  <si>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</si>
  <si>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</si>
  <si>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</si>
  <si>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</si>
  <si>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</si>
  <si>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</si>
  <si>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</si>
  <si>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</si>
  <si>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</si>
  <si>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</si>
  <si>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</si>
  <si>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</si>
  <si>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</si>
  <si>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</si>
  <si>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</si>
  <si>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</si>
  <si>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</si>
  <si>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</si>
  <si>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</si>
  <si>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</si>
  <si>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</si>
  <si>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</si>
  <si>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</si>
  <si>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</si>
  <si>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</si>
  <si>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</si>
  <si>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</si>
  <si>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</si>
  <si>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</si>
  <si>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</si>
  <si>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</si>
  <si>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</si>
  <si>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</si>
  <si>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</si>
  <si>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</si>
  <si>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</si>
  <si>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</si>
  <si>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</si>
  <si>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</si>
  <si>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</si>
  <si>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</si>
  <si>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</si>
  <si>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</si>
  <si>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</si>
  <si>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</si>
  <si>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</si>
  <si>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</si>
  <si>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</si>
  <si>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</si>
  <si>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</si>
  <si>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</si>
  <si>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</si>
  <si>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</si>
  <si>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</si>
  <si>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</si>
  <si>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</si>
  <si>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</si>
  <si>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</si>
  <si>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</si>
  <si>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</si>
  <si>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</si>
  <si>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</si>
  <si>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</si>
  <si>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</si>
  <si>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</si>
  <si>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</si>
  <si>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</si>
  <si>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</si>
  <si>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</si>
  <si>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</si>
  <si>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</si>
  <si>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</si>
  <si>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</si>
  <si>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</si>
  <si>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</si>
  <si>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</si>
  <si>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</si>
  <si>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</si>
  <si>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</si>
  <si>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</si>
  <si>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</si>
  <si>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</si>
  <si>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</si>
  <si>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</si>
  <si>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</si>
  <si>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</si>
  <si>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</si>
  <si>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</si>
  <si>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</si>
  <si>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</si>
  <si>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</si>
  <si>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</si>
  <si>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</si>
  <si>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</si>
  <si>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</si>
  <si>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</si>
  <si>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</si>
  <si>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</si>
  <si>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</si>
  <si>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</si>
  <si>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</si>
  <si>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</si>
  <si>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</si>
  <si>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</si>
  <si>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</si>
  <si>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</si>
  <si>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</si>
  <si>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</si>
  <si>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</si>
  <si>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</si>
  <si>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</si>
  <si>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</si>
  <si>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</si>
  <si>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</si>
  <si>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</si>
  <si>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</si>
  <si>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</si>
  <si>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</si>
  <si>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</si>
  <si>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</si>
  <si>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</si>
  <si>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</si>
  <si>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</si>
  <si>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</si>
  <si>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</si>
  <si>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</si>
  <si>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</si>
  <si>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</si>
  <si>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</si>
  <si>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</si>
  <si>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</si>
  <si>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</si>
  <si>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</si>
  <si>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</si>
  <si>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</si>
  <si>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</si>
  <si>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</si>
  <si>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</si>
  <si>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</si>
  <si>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</si>
  <si>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</si>
  <si>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</si>
  <si>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</si>
  <si>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</si>
  <si>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</si>
  <si>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</si>
  <si>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</si>
  <si>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</si>
  <si>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</si>
  <si>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</si>
  <si>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</si>
  <si>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</si>
  <si>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</si>
  <si>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</si>
  <si>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</si>
  <si>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</si>
  <si>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</si>
  <si>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</si>
  <si>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</si>
  <si>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</si>
  <si>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</si>
  <si>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</si>
  <si>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</si>
  <si>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</si>
  <si>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</si>
  <si>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</si>
  <si>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</si>
  <si>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</si>
  <si>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</si>
  <si>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</si>
  <si>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</si>
  <si>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</si>
  <si>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</si>
  <si>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</si>
  <si>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</si>
  <si>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</si>
  <si>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</si>
  <si>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</si>
  <si>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</si>
  <si>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</si>
  <si>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</si>
  <si>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</si>
  <si>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</si>
  <si>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</si>
  <si>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</si>
  <si>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</si>
  <si>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</si>
  <si>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</si>
  <si>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</si>
  <si>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</si>
  <si>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</si>
  <si>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</si>
  <si>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</si>
  <si>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</si>
  <si>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</si>
  <si>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</si>
  <si>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</si>
  <si>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</si>
  <si>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</si>
  <si>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</si>
  <si>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</si>
  <si>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</si>
  <si>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</si>
  <si>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</si>
  <si>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</si>
  <si>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</si>
  <si>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</si>
  <si>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</si>
  <si>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</si>
  <si>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</si>
  <si>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</si>
  <si>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</si>
  <si>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</si>
  <si>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</si>
  <si>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</si>
  <si>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</si>
  <si>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</si>
  <si>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</si>
  <si>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</si>
  <si>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</si>
  <si>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</si>
  <si>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</si>
  <si>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</si>
  <si>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</si>
  <si>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</si>
  <si>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</si>
  <si>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</si>
  <si>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</si>
  <si>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</si>
  <si>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</si>
  <si>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</si>
  <si>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</si>
  <si>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</si>
  <si>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</si>
  <si>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</si>
  <si>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</si>
  <si>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</si>
  <si>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</si>
  <si>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</si>
  <si>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</si>
  <si>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</si>
  <si>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</si>
  <si>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</si>
  <si>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</si>
  <si>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</si>
  <si>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</si>
  <si>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</si>
  <si>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</si>
  <si>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</si>
  <si>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</si>
  <si>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</si>
  <si>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</si>
  <si>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</si>
  <si>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</si>
  <si>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</si>
  <si>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</si>
  <si>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</si>
  <si>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</si>
  <si>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</si>
  <si>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</si>
  <si>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</si>
  <si>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</si>
  <si>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</si>
  <si>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</si>
  <si>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</si>
  <si>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</si>
  <si>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</si>
  <si>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</si>
  <si>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</si>
  <si>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</si>
  <si>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</si>
  <si>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</si>
  <si>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</si>
  <si>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</si>
  <si>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</si>
  <si>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</si>
  <si>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</si>
  <si>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</si>
  <si>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</si>
  <si>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</si>
  <si>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</si>
  <si>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</si>
  <si>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</si>
  <si>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</si>
  <si>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</si>
  <si>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</si>
  <si>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</si>
  <si>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</si>
  <si>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</si>
  <si>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</si>
  <si>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</si>
  <si>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</si>
  <si>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</si>
  <si>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</si>
  <si>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</si>
  <si>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</si>
  <si>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</si>
  <si>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</si>
  <si>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</si>
  <si>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</si>
  <si>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</si>
  <si>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</si>
  <si>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</si>
  <si>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</si>
  <si>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</si>
  <si>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</si>
  <si>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</si>
  <si>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</si>
  <si>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</si>
  <si>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</si>
  <si>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</si>
  <si>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</si>
  <si>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</si>
  <si>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</si>
  <si>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</si>
  <si>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</si>
  <si>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</si>
  <si>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</si>
  <si>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</si>
  <si>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</si>
  <si>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</si>
  <si>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</si>
  <si>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</si>
  <si>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</si>
  <si>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</si>
  <si>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</si>
  <si>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</si>
  <si>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</si>
  <si>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</si>
  <si>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</si>
  <si>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</si>
  <si>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</si>
  <si>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</si>
  <si>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</si>
  <si>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</si>
  <si>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</si>
  <si>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</si>
  <si>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</si>
  <si>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</si>
  <si>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</si>
  <si>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</si>
  <si>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</si>
  <si>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</si>
  <si>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</si>
  <si>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</si>
  <si>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</si>
  <si>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</si>
  <si>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</si>
  <si>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</si>
  <si>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</si>
  <si>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</si>
  <si>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</si>
  <si>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</si>
  <si>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</si>
  <si>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</si>
  <si>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</si>
  <si>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</si>
  <si>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</si>
  <si>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</si>
  <si>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</si>
  <si>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</si>
  <si>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</si>
  <si>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</si>
  <si>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</si>
  <si>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</si>
  <si>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</si>
  <si>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</si>
  <si>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</si>
  <si>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</si>
  <si>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</si>
  <si>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</si>
  <si>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</si>
  <si>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</si>
  <si>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</si>
  <si>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</si>
  <si>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</si>
  <si>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</si>
  <si>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</si>
  <si>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</si>
  <si>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</si>
  <si>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</si>
  <si>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</si>
  <si>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</si>
  <si>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</si>
  <si>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</si>
  <si>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</si>
  <si>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</si>
  <si>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</si>
  <si>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</si>
  <si>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</si>
  <si>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</si>
  <si>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</si>
  <si>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</si>
  <si>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</si>
  <si>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</si>
  <si>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</si>
  <si>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</si>
  <si>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</si>
  <si>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</si>
  <si>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</si>
  <si>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</si>
  <si>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</si>
  <si>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</si>
  <si>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</si>
  <si>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</si>
  <si>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</si>
  <si>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</si>
  <si>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</si>
  <si>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</si>
  <si>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</si>
  <si>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</si>
  <si>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</si>
  <si>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</si>
  <si>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</si>
  <si>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</si>
  <si>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</si>
  <si>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</si>
  <si>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</si>
  <si>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</si>
  <si>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</si>
  <si>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</si>
  <si>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</si>
  <si>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</si>
  <si>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</si>
  <si>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</si>
  <si>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</si>
  <si>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</si>
  <si>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</si>
  <si>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</si>
  <si>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</si>
  <si>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</si>
  <si>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</si>
  <si>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</si>
  <si>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</si>
  <si>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</si>
  <si>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</si>
  <si>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</si>
  <si>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</si>
  <si>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</si>
  <si>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</si>
  <si>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</si>
  <si>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</si>
  <si>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</si>
  <si>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</si>
  <si>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</si>
  <si>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</si>
  <si>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</si>
  <si>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</si>
  <si>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</si>
  <si>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</si>
  <si>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</si>
  <si>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</si>
  <si>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</si>
  <si>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</si>
  <si>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</si>
  <si>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</si>
  <si>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</si>
  <si>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</si>
  <si>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</si>
  <si>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</si>
  <si>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</si>
  <si>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</si>
  <si>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</si>
  <si>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</si>
  <si>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</si>
  <si>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</si>
  <si>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</si>
  <si>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</si>
  <si>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</si>
  <si>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</si>
  <si>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</si>
  <si>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</si>
  <si>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</si>
  <si>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</si>
  <si>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</si>
  <si>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</si>
  <si>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</si>
  <si>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</si>
  <si>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</si>
  <si>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</si>
  <si>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</si>
  <si>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</si>
  <si>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</si>
  <si>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</si>
  <si>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</si>
  <si>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</si>
  <si>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</si>
  <si>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</si>
  <si>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</si>
  <si>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</si>
  <si>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</si>
  <si>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</si>
  <si>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</si>
  <si>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</si>
  <si>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</si>
  <si>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</si>
  <si>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</si>
  <si>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</si>
  <si>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</si>
  <si>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</si>
  <si>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</si>
  <si>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</si>
  <si>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</si>
  <si>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</si>
  <si>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</si>
  <si>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</si>
  <si>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</si>
  <si>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</si>
  <si>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</si>
  <si>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</si>
  <si>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</si>
  <si>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</si>
  <si>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</si>
  <si>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</si>
  <si>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</si>
  <si>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</si>
  <si>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</si>
  <si>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</si>
  <si>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</si>
  <si>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</si>
  <si>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</si>
  <si>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</si>
  <si>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</si>
  <si>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</si>
  <si>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</si>
  <si>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</si>
  <si>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</si>
  <si>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</si>
  <si>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</si>
  <si>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</si>
  <si>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</si>
  <si>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</si>
  <si>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</si>
  <si>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</si>
  <si>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</si>
  <si>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</si>
  <si>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</si>
  <si>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</si>
  <si>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</si>
  <si>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</si>
  <si>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</si>
  <si>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</si>
  <si>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</si>
  <si>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</si>
  <si>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</si>
  <si>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</si>
  <si>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</si>
  <si>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</si>
  <si>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</si>
  <si>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</si>
  <si>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</si>
  <si>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</si>
  <si>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</si>
  <si>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</si>
  <si>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</si>
  <si>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</si>
  <si>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</si>
  <si>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</si>
  <si>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</si>
  <si>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</si>
  <si>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</si>
  <si>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</si>
  <si>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</si>
  <si>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</si>
  <si>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</si>
  <si>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</si>
  <si>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</si>
  <si>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</si>
  <si>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</si>
  <si>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</si>
  <si>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</si>
  <si>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</si>
  <si>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</si>
  <si>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</si>
  <si>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</si>
  <si>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</si>
  <si>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</si>
  <si>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</si>
  <si>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</si>
  <si>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</si>
  <si>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</si>
  <si>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</si>
  <si>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</si>
  <si>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</si>
  <si>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</si>
  <si>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</si>
  <si>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</si>
  <si>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</si>
  <si>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</si>
  <si>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</si>
  <si>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</si>
  <si>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</si>
  <si>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</si>
  <si>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</si>
  <si>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</si>
  <si>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</si>
  <si>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</si>
  <si>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</si>
  <si>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</si>
  <si>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</si>
  <si>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</si>
  <si>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</si>
  <si>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</si>
  <si>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</si>
  <si>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</si>
  <si>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</si>
  <si>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</si>
  <si>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</si>
  <si>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</si>
  <si>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</si>
  <si>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</si>
  <si>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</si>
  <si>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</si>
  <si>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</si>
  <si>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</si>
  <si>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</si>
  <si>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</si>
  <si>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</si>
  <si>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</si>
  <si>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</si>
  <si>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</si>
  <si>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</si>
  <si>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</si>
  <si>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</si>
  <si>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</si>
  <si>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</si>
  <si>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</si>
  <si>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</si>
  <si>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</si>
  <si>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</si>
  <si>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</si>
  <si>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</si>
  <si>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</si>
  <si>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</si>
  <si>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</si>
  <si>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</si>
  <si>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</si>
  <si>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</si>
  <si>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</si>
  <si>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</si>
  <si>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</si>
  <si>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</si>
  <si>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</si>
  <si>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</si>
  <si>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</si>
  <si>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</si>
  <si>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</si>
  <si>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</si>
  <si>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</si>
  <si>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</si>
  <si>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</si>
  <si>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</si>
  <si>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</si>
  <si>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</si>
  <si>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</si>
  <si>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</si>
  <si>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</si>
  <si>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</si>
  <si>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</si>
  <si>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</si>
  <si>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</si>
  <si>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</si>
  <si>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</si>
  <si>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</si>
  <si>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</si>
  <si>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</si>
  <si>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</si>
  <si>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</si>
  <si>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</si>
  <si>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</si>
  <si>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</si>
  <si>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</si>
  <si>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</si>
  <si>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</si>
  <si>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</si>
  <si>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</si>
  <si>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</si>
  <si>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</si>
  <si>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</si>
  <si>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</si>
  <si>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</si>
  <si>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</si>
  <si>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</si>
  <si>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</si>
  <si>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</si>
  <si>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</si>
  <si>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</si>
  <si>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</si>
  <si>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</si>
  <si>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</si>
  <si>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</si>
  <si>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</si>
  <si>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</si>
  <si>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</si>
  <si>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</si>
  <si>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</si>
  <si>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</si>
  <si>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</si>
  <si>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</si>
  <si>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</si>
  <si>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</si>
  <si>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</si>
  <si>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</si>
  <si>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</si>
  <si>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</si>
  <si>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</si>
  <si>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</si>
  <si>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</si>
  <si>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</si>
  <si>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</si>
  <si>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</si>
  <si>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</si>
  <si>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</si>
  <si>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</si>
  <si>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</si>
  <si>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</si>
  <si>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</si>
  <si>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</si>
  <si>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</si>
  <si>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</si>
  <si>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</si>
  <si>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</si>
  <si>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</si>
  <si>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</si>
  <si>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</si>
  <si>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</si>
  <si>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</si>
  <si>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</si>
  <si>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</si>
  <si>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</si>
  <si>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</si>
  <si>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</si>
  <si>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</si>
  <si>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</si>
  <si>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</si>
  <si>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</si>
  <si>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</si>
  <si>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</si>
  <si>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</si>
  <si>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</si>
  <si>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</si>
  <si>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</si>
  <si>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</si>
  <si>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</si>
  <si>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</si>
  <si>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</si>
  <si>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</si>
  <si>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</si>
  <si>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</si>
  <si>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</si>
  <si>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</si>
  <si>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</si>
  <si>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</si>
  <si>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</si>
  <si>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</si>
  <si>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</si>
  <si>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</si>
  <si>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</si>
  <si>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</si>
  <si>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</si>
  <si>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</si>
  <si>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</si>
  <si>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</si>
  <si>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</si>
  <si>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</si>
  <si>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</si>
  <si>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</si>
  <si>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</si>
  <si>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</si>
  <si>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</si>
  <si>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</si>
  <si>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</si>
  <si>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</si>
  <si>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</si>
  <si>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</si>
  <si>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</si>
  <si>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</si>
  <si>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</si>
  <si>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</si>
  <si>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</si>
  <si>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</si>
  <si>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</si>
  <si>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</si>
  <si>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</si>
  <si>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</si>
  <si>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</si>
  <si>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</si>
  <si>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</si>
  <si>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</si>
  <si>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</si>
  <si>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</si>
  <si>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</si>
  <si>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</si>
  <si>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</si>
  <si>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</si>
  <si>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</si>
  <si>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</si>
  <si>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</si>
  <si>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</si>
  <si>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</si>
  <si>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</si>
  <si>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</si>
  <si>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</si>
  <si>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</si>
  <si>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</si>
  <si>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</si>
  <si>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</si>
  <si>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</si>
  <si>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</si>
  <si>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</si>
  <si>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</si>
  <si>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</si>
  <si>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</si>
  <si>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</si>
  <si>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</si>
  <si>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</si>
  <si>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</si>
  <si>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</si>
  <si>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</si>
  <si>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</si>
  <si>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</si>
  <si>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</si>
  <si>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</si>
  <si>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</si>
  <si>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</si>
  <si>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</si>
  <si>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</si>
  <si>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</si>
  <si>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</si>
  <si>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</si>
  <si>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</si>
  <si>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</si>
  <si>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</si>
  <si>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</si>
  <si>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</si>
  <si>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</si>
  <si>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</si>
  <si>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</si>
  <si>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</si>
  <si>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</si>
  <si>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</si>
  <si>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</si>
  <si>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</si>
  <si>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</si>
  <si>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</si>
  <si>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</si>
  <si>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</si>
  <si>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</si>
  <si>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</si>
  <si>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</si>
  <si>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</si>
  <si>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</si>
  <si>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</si>
  <si>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</si>
  <si>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</si>
  <si>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</si>
  <si>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</si>
  <si>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</si>
  <si>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</si>
  <si>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</si>
  <si>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</si>
  <si>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</si>
  <si>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</si>
  <si>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</si>
  <si>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</si>
  <si>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</si>
  <si>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</si>
  <si>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</si>
  <si>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</si>
  <si>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</si>
  <si>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</si>
  <si>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</si>
  <si>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</si>
  <si>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</si>
  <si>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</si>
  <si>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</si>
  <si>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</si>
  <si>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</si>
  <si>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</si>
  <si>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</si>
  <si>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</si>
  <si>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</si>
  <si>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</si>
  <si>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</si>
  <si>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</si>
  <si>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</si>
  <si>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</si>
  <si>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</si>
  <si>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</si>
  <si>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</si>
  <si>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</si>
  <si>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</si>
  <si>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</si>
  <si>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</si>
  <si>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</si>
  <si>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</si>
  <si>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</si>
  <si>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</si>
  <si>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</si>
  <si>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</si>
  <si>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</si>
  <si>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</si>
  <si>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</si>
  <si>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</si>
  <si>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</si>
  <si>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</si>
  <si>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</si>
  <si>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</si>
  <si>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</si>
  <si>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</si>
  <si>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</si>
  <si>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</si>
  <si>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</si>
  <si>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</si>
  <si>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</si>
  <si>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</si>
  <si>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</si>
  <si>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</si>
  <si>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</si>
  <si>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</si>
  <si>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</si>
  <si>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</si>
  <si>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</si>
  <si>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</si>
  <si>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</si>
  <si>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</si>
  <si>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</si>
  <si>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</si>
  <si>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</si>
  <si>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</si>
  <si>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</si>
  <si>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</si>
  <si>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</si>
  <si>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</si>
  <si>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</si>
  <si>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</si>
  <si>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</si>
  <si>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</si>
  <si>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</si>
  <si>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</si>
  <si>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</si>
  <si>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</si>
  <si>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</si>
  <si>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</si>
  <si>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</si>
  <si>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</si>
  <si>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</si>
  <si>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</si>
  <si>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</si>
  <si>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</si>
  <si>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</si>
  <si>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</si>
  <si>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</si>
  <si>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</si>
  <si>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</si>
  <si>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</si>
  <si>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</si>
  <si>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</si>
  <si>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</si>
  <si>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</si>
  <si>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</si>
  <si>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</si>
  <si>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</si>
  <si>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</si>
  <si>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</si>
  <si>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</si>
  <si>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</si>
  <si>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</si>
  <si>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</si>
  <si>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</si>
  <si>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</si>
  <si>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</si>
  <si>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</si>
  <si>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</si>
  <si>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</si>
  <si>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</si>
  <si>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</si>
  <si>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</si>
  <si>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</si>
  <si>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</si>
  <si>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</si>
  <si>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</si>
  <si>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</si>
  <si>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</si>
  <si>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</si>
  <si>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</si>
  <si>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</si>
  <si>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</si>
  <si>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</si>
  <si>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</si>
  <si>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</si>
  <si>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</si>
  <si>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</si>
  <si>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</si>
  <si>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</si>
  <si>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</si>
  <si>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</si>
  <si>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</si>
  <si>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</si>
  <si>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</si>
  <si>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</si>
  <si>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</si>
  <si>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</si>
  <si>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</si>
  <si>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</si>
  <si>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</si>
  <si>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</si>
  <si>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</si>
  <si>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</si>
  <si>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</si>
  <si>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</si>
  <si>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</si>
  <si>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</si>
  <si>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</si>
  <si>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</si>
  <si>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</si>
  <si>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</si>
  <si>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</si>
  <si>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</si>
  <si>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</si>
  <si>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</si>
  <si>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</si>
  <si>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</si>
  <si>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</si>
  <si>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</si>
  <si>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</si>
  <si>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</si>
  <si>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</si>
  <si>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</si>
  <si>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</si>
  <si>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</si>
  <si>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</si>
  <si>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</si>
  <si>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</si>
  <si>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</si>
  <si>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</si>
  <si>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</si>
  <si>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</si>
  <si>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</si>
  <si>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</si>
  <si>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</si>
  <si>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</si>
  <si>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</si>
  <si>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</si>
  <si>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</si>
  <si>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</si>
  <si>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</si>
  <si>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</si>
  <si>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</si>
  <si>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</si>
  <si>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</si>
  <si>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</si>
  <si>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</si>
  <si>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</si>
  <si>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</si>
  <si>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</si>
  <si>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</si>
  <si>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</si>
  <si>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</si>
  <si>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</si>
  <si>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</si>
  <si>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</si>
  <si>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</si>
  <si>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</si>
  <si>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</si>
  <si>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</si>
  <si>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</si>
  <si>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</si>
  <si>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</si>
  <si>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</si>
  <si>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</si>
  <si>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</si>
  <si>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</si>
  <si>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</si>
  <si>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</si>
  <si>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</si>
  <si>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</si>
  <si>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</si>
  <si>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</si>
  <si>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</si>
  <si>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</si>
  <si>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</si>
  <si>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</si>
  <si>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</si>
  <si>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</si>
  <si>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</si>
  <si>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</si>
  <si>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</si>
  <si>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</si>
  <si>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</si>
  <si>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</si>
  <si>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</si>
  <si>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</si>
  <si>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</si>
  <si>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</si>
  <si>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</si>
  <si>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</si>
  <si>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</si>
  <si>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</si>
  <si>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</si>
  <si>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</si>
  <si>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</si>
  <si>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</si>
  <si>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</si>
  <si>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</si>
  <si>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</si>
  <si>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</si>
  <si>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</si>
  <si>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</si>
  <si>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</si>
  <si>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</si>
  <si>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</si>
  <si>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</si>
  <si>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</si>
  <si>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</si>
  <si>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</si>
  <si>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</si>
  <si>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</si>
  <si>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</si>
  <si>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</si>
  <si>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</si>
  <si>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</si>
  <si>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</si>
  <si>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</si>
  <si>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</si>
  <si>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</si>
  <si>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</si>
  <si>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</si>
  <si>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</si>
  <si>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</si>
  <si>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</si>
  <si>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</si>
  <si>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</si>
  <si>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</si>
  <si>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</si>
  <si>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</si>
  <si>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</si>
  <si>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</si>
  <si>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</si>
  <si>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</si>
  <si>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</si>
  <si>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</si>
  <si>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</si>
  <si>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</si>
  <si>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</si>
  <si>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</si>
  <si>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</si>
  <si>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</si>
  <si>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</si>
  <si>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</si>
  <si>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</si>
  <si>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</si>
  <si>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</si>
  <si>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</si>
  <si>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</si>
  <si>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</si>
  <si>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</si>
  <si>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</si>
  <si>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</si>
  <si>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</si>
  <si>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</si>
  <si>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</si>
  <si>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</si>
  <si>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</si>
  <si>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</si>
  <si>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</si>
  <si>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</si>
  <si>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</si>
  <si>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</si>
  <si>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</si>
  <si>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</si>
  <si>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</si>
  <si>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</si>
  <si>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</si>
  <si>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</si>
  <si>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</si>
  <si>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</si>
  <si>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</si>
  <si>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</si>
  <si>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</si>
  <si>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</si>
  <si>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</si>
  <si>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</si>
  <si>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</si>
  <si>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</si>
  <si>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</si>
  <si>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</si>
  <si>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</si>
  <si>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</si>
  <si>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</si>
  <si>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</si>
  <si>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</si>
  <si>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</si>
  <si>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</si>
  <si>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</si>
  <si>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</si>
  <si>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</si>
  <si>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</si>
  <si>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</si>
  <si>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</si>
  <si>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</si>
  <si>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</si>
  <si>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</si>
  <si>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</si>
  <si>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</si>
  <si>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</si>
  <si>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</si>
  <si>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</si>
  <si>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</si>
  <si>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</si>
  <si>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</si>
  <si>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</si>
  <si>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</si>
  <si>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</si>
  <si>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</si>
  <si>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</si>
  <si>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</si>
  <si>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</si>
  <si>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</si>
  <si>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</si>
  <si>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</si>
  <si>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</si>
  <si>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</si>
  <si>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</si>
  <si>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</si>
  <si>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</si>
  <si>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</si>
  <si>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</si>
  <si>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</si>
  <si>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</si>
  <si>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</si>
  <si>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</si>
  <si>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</si>
  <si>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</si>
  <si>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</si>
  <si>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</si>
  <si>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</si>
  <si>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</si>
  <si>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</si>
  <si>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</si>
  <si>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</si>
  <si>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</si>
  <si>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</si>
  <si>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</si>
  <si>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</si>
  <si>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</si>
  <si>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</si>
  <si>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</si>
  <si>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</si>
  <si>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</si>
  <si>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</si>
  <si>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</si>
  <si>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</si>
  <si>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</si>
  <si>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</si>
  <si>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</si>
  <si>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</si>
  <si>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</si>
  <si>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</si>
  <si>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</si>
  <si>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</si>
  <si>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</si>
  <si>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</si>
  <si>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</si>
  <si>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</si>
  <si>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</si>
  <si>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</si>
  <si>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</si>
  <si>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</si>
  <si>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</si>
  <si>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</si>
  <si>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</si>
  <si>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</si>
  <si>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</si>
  <si>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</si>
  <si>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</si>
  <si>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</si>
  <si>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</si>
  <si>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</si>
  <si>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</si>
  <si>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</si>
  <si>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</si>
  <si>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</si>
  <si>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</si>
  <si>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</si>
  <si>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</si>
  <si>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</si>
  <si>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</si>
  <si>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</si>
  <si>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</si>
  <si>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</si>
  <si>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</si>
  <si>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</si>
  <si>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</si>
  <si>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</si>
  <si>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</si>
  <si>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</si>
  <si>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</si>
  <si>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</si>
  <si>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</si>
  <si>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</si>
  <si>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</si>
  <si>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</si>
  <si>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</si>
  <si>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</si>
  <si>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</si>
  <si>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</si>
  <si>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</si>
  <si>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</si>
  <si>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</si>
  <si>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</si>
  <si>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</si>
  <si>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</si>
  <si>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</si>
  <si>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</si>
  <si>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</si>
  <si>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</si>
  <si>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</si>
  <si>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</si>
  <si>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</si>
  <si>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</si>
  <si>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</si>
  <si>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</si>
  <si>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</si>
  <si>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</si>
  <si>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</si>
  <si>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</si>
  <si>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</si>
  <si>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</si>
  <si>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</si>
  <si>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</si>
  <si>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</si>
  <si>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</si>
  <si>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</si>
  <si>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</si>
  <si>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</si>
  <si>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</si>
  <si>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</si>
  <si>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</si>
  <si>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</si>
  <si>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</si>
  <si>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</si>
  <si>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</si>
  <si>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</si>
  <si>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</si>
  <si>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</si>
  <si>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</si>
  <si>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</si>
  <si>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</si>
  <si>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</si>
  <si>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</si>
  <si>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</si>
  <si>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</si>
  <si>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</si>
  <si>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</si>
  <si>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</si>
  <si>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</si>
  <si>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</si>
  <si>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</si>
  <si>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</si>
  <si>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</si>
  <si>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</si>
  <si>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</si>
  <si>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</si>
  <si>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</si>
  <si>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</si>
  <si>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</si>
  <si>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</si>
  <si>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</si>
  <si>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</si>
  <si>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</si>
  <si>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</si>
  <si>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</si>
  <si>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</si>
  <si>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</si>
  <si>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</si>
  <si>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</si>
  <si>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</si>
  <si>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</si>
  <si>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</si>
  <si>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</si>
  <si>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</si>
  <si>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</si>
  <si>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</si>
  <si>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</si>
  <si>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</si>
  <si>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</si>
  <si>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</si>
  <si>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</si>
  <si>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</si>
  <si>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</si>
  <si>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</si>
  <si>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</si>
  <si>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</si>
  <si>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</si>
  <si>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</si>
  <si>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</si>
  <si>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</si>
  <si>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</si>
  <si>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</si>
  <si>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</si>
  <si>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</si>
  <si>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</si>
  <si>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</si>
  <si>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</si>
  <si>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</si>
  <si>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</si>
  <si>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</si>
  <si>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</si>
  <si>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</si>
  <si>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</si>
  <si>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</si>
  <si>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</si>
  <si>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</si>
  <si>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</si>
  <si>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</si>
  <si>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</si>
  <si>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</si>
  <si>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</si>
  <si>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</si>
  <si>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</si>
  <si>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</si>
  <si>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</si>
  <si>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</si>
  <si>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</si>
  <si>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</si>
  <si>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</si>
  <si>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</si>
  <si>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</si>
  <si>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</si>
  <si>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</si>
  <si>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</si>
  <si>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</si>
  <si>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</si>
  <si>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</si>
  <si>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</si>
  <si>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</si>
  <si>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</si>
  <si>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</si>
  <si>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</si>
  <si>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</si>
  <si>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</si>
  <si>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</si>
  <si>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</si>
  <si>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</si>
  <si>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</si>
  <si>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</si>
  <si>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</si>
  <si>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</si>
  <si>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</si>
  <si>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</si>
  <si>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</si>
  <si>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</si>
  <si>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</si>
  <si>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</si>
  <si>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</si>
  <si>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</si>
  <si>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</si>
  <si>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</si>
  <si>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</si>
  <si>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</si>
  <si>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</si>
  <si>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</si>
  <si>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</si>
  <si>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</si>
  <si>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</si>
  <si>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</si>
  <si>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</si>
  <si>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</si>
  <si>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</si>
  <si>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</si>
  <si>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</si>
  <si>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</si>
  <si>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</si>
  <si>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</si>
  <si>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</si>
  <si>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</si>
  <si>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</si>
  <si>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</si>
  <si>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</si>
  <si>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</si>
  <si>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</si>
  <si>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</si>
  <si>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</si>
  <si>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</si>
  <si>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</si>
  <si>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</si>
  <si>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</si>
  <si>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</si>
  <si>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</si>
  <si>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</si>
  <si>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</si>
  <si>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</si>
  <si>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</si>
  <si>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</si>
  <si>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</si>
  <si>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</si>
  <si>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</si>
  <si>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</si>
  <si>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</si>
  <si>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</si>
  <si>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</si>
  <si>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</si>
  <si>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</si>
  <si>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</si>
  <si>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</si>
  <si>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</si>
  <si>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</si>
  <si>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</si>
  <si>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</si>
  <si>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</si>
  <si>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</si>
  <si>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</si>
  <si>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</si>
  <si>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</si>
  <si>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</si>
  <si>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</si>
  <si>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</si>
  <si>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</si>
  <si>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</si>
  <si>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</si>
  <si>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</si>
  <si>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</si>
  <si>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</si>
  <si>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</si>
  <si>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</si>
  <si>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</si>
  <si>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</si>
  <si>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</si>
  <si>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</si>
  <si>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</si>
  <si>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</si>
  <si>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</si>
  <si>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</si>
  <si>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</si>
  <si>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KJLTVR311410R01</t>
  </si>
  <si>
    <t>F174741</t>
  </si>
  <si>
    <t>LTVR3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</si>
</sst>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47.2</c:v>
                </c:pt>
                <c:pt idx="2">
                  <c:v>22</c:v>
                </c:pt>
                <c:pt idx="3">
                  <c:v>22</c:v>
                </c:pt>
                <c:pt idx="4">
                  <c:v>19</c:v>
                </c:pt>
                <c:pt idx="6">
                  <c:v>19.200000000000003</c:v>
                </c:pt>
                <c:pt idx="7">
                  <c:v>19.100000000000001</c:v>
                </c:pt>
                <c:pt idx="8">
                  <c:v>25.200000000000003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3409664"/>
        <c:axId val="73411200"/>
      </c:barChart>
      <c:catAx>
        <c:axId val="73409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411200"/>
        <c:crossesAt val="0"/>
        <c:auto val="1"/>
        <c:lblAlgn val="ctr"/>
        <c:lblOffset val="100"/>
        <c:tickLblSkip val="1"/>
        <c:tickMarkSkip val="1"/>
        <c:noMultiLvlLbl val="0"/>
      </c:catAx>
      <c:valAx>
        <c:axId val="7341120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340966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27.04274728368501</c:v>
                </c:pt>
              </c:numCache>
            </c:numRef>
          </c:xVal>
          <c:yVal>
            <c:numRef>
              <c:f>'Diagram Data'!$F$25</c:f>
              <c:numCache>
                <c:formatCode>0.00</c:formatCode>
                <c:ptCount val="1"/>
                <c:pt idx="0">
                  <c:v>293.46714163640343</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3433856"/>
        <c:axId val="73435776"/>
      </c:scatterChart>
      <c:valAx>
        <c:axId val="7343385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435776"/>
        <c:crosses val="autoZero"/>
        <c:crossBetween val="midCat"/>
      </c:valAx>
      <c:valAx>
        <c:axId val="7343577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343385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26.811474691193251</c:v>
                </c:pt>
              </c:numCache>
            </c:numRef>
          </c:xVal>
          <c:yVal>
            <c:numRef>
              <c:f>'Diagram Data'!$F$29</c:f>
              <c:numCache>
                <c:formatCode>0.00</c:formatCode>
                <c:ptCount val="1"/>
                <c:pt idx="0">
                  <c:v>293.46714163640343</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5891840"/>
        <c:axId val="75893760"/>
      </c:scatterChart>
      <c:valAx>
        <c:axId val="7589184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3760"/>
        <c:crosses val="autoZero"/>
        <c:crossBetween val="midCat"/>
      </c:valAx>
      <c:valAx>
        <c:axId val="7589376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89184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19.699396040625246</c:v>
                </c:pt>
              </c:numCache>
            </c:numRef>
          </c:xVal>
          <c:yVal>
            <c:numRef>
              <c:f>'Diagram Data'!$F$33</c:f>
              <c:numCache>
                <c:formatCode>0.00</c:formatCode>
                <c:ptCount val="1"/>
                <c:pt idx="0">
                  <c:v>139.78458193878572</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75945472"/>
        <c:axId val="75947392"/>
      </c:scatterChart>
      <c:valAx>
        <c:axId val="7594547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47392"/>
        <c:crosses val="autoZero"/>
        <c:crossBetween val="midCat"/>
      </c:valAx>
      <c:valAx>
        <c:axId val="7594739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594547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20.838961344381964</c:v>
                </c:pt>
                <c:pt idx="1">
                  <c:v>20.697585144718616</c:v>
                </c:pt>
                <c:pt idx="2">
                  <c:v>20.650012540209708</c:v>
                </c:pt>
                <c:pt idx="3">
                  <c:v>20.988925594196758</c:v>
                </c:pt>
                <c:pt idx="4">
                  <c:v>23.410515540293538</c:v>
                </c:pt>
                <c:pt idx="5">
                  <c:v>26.078141989802781</c:v>
                </c:pt>
                <c:pt idx="6">
                  <c:v>27.042575466179457</c:v>
                </c:pt>
                <c:pt idx="7">
                  <c:v>26.119125700047775</c:v>
                </c:pt>
                <c:pt idx="8">
                  <c:v>24.069370405419964</c:v>
                </c:pt>
                <c:pt idx="9">
                  <c:v>22.34787590877351</c:v>
                </c:pt>
                <c:pt idx="10">
                  <c:v>21.489389872744752</c:v>
                </c:pt>
                <c:pt idx="11">
                  <c:v>21.073526728405689</c:v>
                </c:pt>
                <c:pt idx="12">
                  <c:v>20.838961344381964</c:v>
                </c:pt>
                <c:pt idx="13">
                  <c:v>20.697585144718616</c:v>
                </c:pt>
                <c:pt idx="14">
                  <c:v>20.650012540209708</c:v>
                </c:pt>
                <c:pt idx="15">
                  <c:v>20.988925594196758</c:v>
                </c:pt>
                <c:pt idx="16">
                  <c:v>23.410515540293538</c:v>
                </c:pt>
                <c:pt idx="17">
                  <c:v>26.078141989802781</c:v>
                </c:pt>
                <c:pt idx="18">
                  <c:v>27.042575466179457</c:v>
                </c:pt>
                <c:pt idx="19">
                  <c:v>26.119125700047768</c:v>
                </c:pt>
                <c:pt idx="20">
                  <c:v>24.06937040541996</c:v>
                </c:pt>
                <c:pt idx="21">
                  <c:v>22.34787590877351</c:v>
                </c:pt>
                <c:pt idx="22">
                  <c:v>21.489389872744756</c:v>
                </c:pt>
                <c:pt idx="23">
                  <c:v>21.073526728405689</c:v>
                </c:pt>
                <c:pt idx="24">
                  <c:v>20.838961344381964</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26.781668081070833</c:v>
                </c:pt>
                <c:pt idx="1">
                  <c:v>25.351027543084349</c:v>
                </c:pt>
                <c:pt idx="2">
                  <c:v>22.137331227808509</c:v>
                </c:pt>
                <c:pt idx="3">
                  <c:v>18.001686467640354</c:v>
                </c:pt>
                <c:pt idx="4">
                  <c:v>14.052235936248945</c:v>
                </c:pt>
                <c:pt idx="5">
                  <c:v>11.347231714067274</c:v>
                </c:pt>
                <c:pt idx="6">
                  <c:v>10.611477497951702</c:v>
                </c:pt>
                <c:pt idx="7">
                  <c:v>12.042118035938188</c:v>
                </c:pt>
                <c:pt idx="8">
                  <c:v>15.255814351214021</c:v>
                </c:pt>
                <c:pt idx="9">
                  <c:v>19.391459111382176</c:v>
                </c:pt>
                <c:pt idx="10">
                  <c:v>23.340909642773592</c:v>
                </c:pt>
                <c:pt idx="11">
                  <c:v>26.045913864955256</c:v>
                </c:pt>
                <c:pt idx="12">
                  <c:v>26.781668081070833</c:v>
                </c:pt>
                <c:pt idx="13">
                  <c:v>25.351027543084349</c:v>
                </c:pt>
                <c:pt idx="14">
                  <c:v>22.137331227808506</c:v>
                </c:pt>
                <c:pt idx="15">
                  <c:v>18.001686467640358</c:v>
                </c:pt>
                <c:pt idx="16">
                  <c:v>14.05223593624895</c:v>
                </c:pt>
                <c:pt idx="17">
                  <c:v>11.347231714067274</c:v>
                </c:pt>
                <c:pt idx="18">
                  <c:v>10.611477497951702</c:v>
                </c:pt>
                <c:pt idx="19">
                  <c:v>12.042118035938191</c:v>
                </c:pt>
                <c:pt idx="20">
                  <c:v>15.255814351214028</c:v>
                </c:pt>
                <c:pt idx="21">
                  <c:v>19.391459111382176</c:v>
                </c:pt>
                <c:pt idx="22">
                  <c:v>23.340909642773582</c:v>
                </c:pt>
                <c:pt idx="23">
                  <c:v>26.04591386495526</c:v>
                </c:pt>
                <c:pt idx="24">
                  <c:v>26.781668081070833</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89.801638018347148</c:v>
                </c:pt>
              </c:numCache>
            </c:numRef>
          </c:xVal>
          <c:yVal>
            <c:numRef>
              <c:f>'Payload Input'!$J$89</c:f>
              <c:numCache>
                <c:formatCode>General</c:formatCode>
                <c:ptCount val="1"/>
                <c:pt idx="0">
                  <c:v>27.04274728368501</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357.543847583478</c:v>
                </c:pt>
              </c:numCache>
            </c:numRef>
          </c:xVal>
          <c:yVal>
            <c:numRef>
              <c:f>'Payload Input'!$K$90</c:f>
              <c:numCache>
                <c:formatCode>General</c:formatCode>
                <c:ptCount val="1"/>
                <c:pt idx="0">
                  <c:v>26.811474691193251</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19.699396040625246</c:v>
                </c:pt>
              </c:numCache>
            </c:numRef>
          </c:yVal>
          <c:smooth val="1"/>
        </c:ser>
        <c:dLbls>
          <c:showLegendKey val="0"/>
          <c:showVal val="0"/>
          <c:showCatName val="0"/>
          <c:showSerName val="0"/>
          <c:showPercent val="0"/>
          <c:showBubbleSize val="0"/>
        </c:dLbls>
        <c:axId val="77180288"/>
        <c:axId val="77198848"/>
      </c:scatterChart>
      <c:valAx>
        <c:axId val="7718028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77198848"/>
        <c:crosses val="autoZero"/>
        <c:crossBetween val="midCat"/>
      </c:valAx>
      <c:valAx>
        <c:axId val="7719884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7718028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6542592"/>
        <c:axId val="86552576"/>
      </c:scatterChart>
      <c:valAx>
        <c:axId val="8654259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552576"/>
        <c:crosses val="autoZero"/>
        <c:crossBetween val="midCat"/>
      </c:valAx>
      <c:valAx>
        <c:axId val="8655257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54259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7" sqref="G7:H7"/>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4042</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4043</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101.95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-0.12965750000000001</v>
      </c>
      <c r="F13" s="785" t="s">
        <v>3913</v>
      </c>
      <c r="G13" s="151"/>
      <c r="H13" s="170" t="str">
        <f>'Wrist Load Analysis'!R16</f>
        <v>OK</v>
      </c>
    </row>
    <row r="14" spans="1:8" ht="13.5" thickBot="1">
      <c r="B14" s="163" t="str">
        <f>HLOOKUP(Anal_Payload_Code,Unit_text,5)</f>
        <v>Payload Center Y (m)</v>
      </c>
      <c r="C14" s="338">
        <v>-5.2568900000000002E-2</v>
      </c>
      <c r="F14" s="786" t="s">
        <v>3914</v>
      </c>
      <c r="G14" s="70"/>
      <c r="H14" s="443" t="str">
        <f>'Wrist Load Analysis'!R17</f>
        <v>OK</v>
      </c>
    </row>
    <row r="15" spans="1:8">
      <c r="B15" s="163" t="str">
        <f>IF(Axis_Type=1,"--------------------------------",HLOOKUP(Anal_Payload_Code,Unit_text,6))</f>
        <v>Payload Center Z (m)</v>
      </c>
      <c r="C15" s="338">
        <v>2.326713E-2</v>
      </c>
      <c r="F15" s="444"/>
      <c r="G15" s="169"/>
      <c r="H15" s="169"/>
    </row>
    <row r="16" spans="1:8">
      <c r="A16" s="264"/>
      <c r="B16" s="163" t="str">
        <f>HLOOKUP(Anal_Payload_Code,Unit_text,7)</f>
        <v>Payload Inertia Ix (Kg.m^2)</v>
      </c>
      <c r="C16" s="338">
        <v>3.52948</v>
      </c>
      <c r="E16" s="264"/>
      <c r="F16" s="5"/>
      <c r="G16" s="151"/>
      <c r="H16" s="151"/>
    </row>
    <row r="17" spans="1:8" ht="13.5" thickBot="1">
      <c r="B17" s="265" t="str">
        <f>HLOOKUP(Anal_Payload_Code,Unit_text,8)</f>
        <v>Payload Inertia Iy (Kg.m^2)</v>
      </c>
      <c r="C17" s="339">
        <v>18.267520000000001</v>
      </c>
      <c r="D17" s="264"/>
      <c r="F17" s="12"/>
      <c r="G17" s="263"/>
      <c r="H17" s="263"/>
    </row>
    <row r="18" spans="1:8" ht="16.149999999999999" customHeight="1" thickBot="1">
      <c r="B18" s="412" t="str">
        <f>IF(Axis_Type=1,"--------------------------------",HLOOKUP(Anal_Payload_Code,Unit_text,9))</f>
        <v>Payload Inertia Iz (Kg.m^2)</v>
      </c>
      <c r="C18" s="548">
        <v>17.703769999999999</v>
      </c>
      <c r="F18" s="780" t="s">
        <v>3956</v>
      </c>
      <c r="G18" s="168"/>
      <c r="H18" s="167"/>
    </row>
    <row r="19" spans="1:8" ht="16.5" thickBot="1">
      <c r="A19" s="264"/>
      <c r="C19" s="192"/>
      <c r="D19" s="192"/>
      <c r="E19" s="264"/>
      <c r="F19" s="789" t="s">
        <v>4037</v>
      </c>
      <c r="G19" s="171"/>
      <c r="H19" s="325">
        <f>'Wrist Load Analysis'!R20</f>
        <v>47.2</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101.95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22</v>
      </c>
    </row>
    <row r="23" spans="1:8">
      <c r="B23" s="785" t="s">
        <v>3942</v>
      </c>
      <c r="C23" s="336">
        <f>VLOOKUP('Misc Data'!$B$26,Table1,6)</f>
        <v>1333</v>
      </c>
      <c r="D23" s="365">
        <f>'Wrist Load Analysis'!R7</f>
        <v>293.46714163640343</v>
      </c>
      <c r="F23" s="785" t="s">
        <v>3959</v>
      </c>
      <c r="G23" s="380"/>
      <c r="H23" s="442">
        <f>'Wrist Load Analysis'!R23</f>
        <v>22</v>
      </c>
    </row>
    <row r="24" spans="1:8" ht="13.5" thickBot="1">
      <c r="A24" s="264"/>
      <c r="B24" s="785" t="s">
        <v>3943</v>
      </c>
      <c r="C24" s="336">
        <f>VLOOKUP('Misc Data'!$B$26,Table1,7)</f>
        <v>1333</v>
      </c>
      <c r="D24" s="365">
        <f>'Wrist Load Analysis'!R8</f>
        <v>293.46714163640343</v>
      </c>
      <c r="E24" s="264"/>
      <c r="F24" s="786" t="s">
        <v>3960</v>
      </c>
      <c r="G24" s="381"/>
      <c r="H24" s="327">
        <f>IF(Axis_Count=1,"-",'Wrist Load Analysis'!R24)</f>
        <v>19</v>
      </c>
    </row>
    <row r="25" spans="1:8">
      <c r="A25" s="264"/>
      <c r="B25" s="785" t="s">
        <v>3944</v>
      </c>
      <c r="C25" s="336">
        <f>VLOOKUP('Misc Data'!$B$26,Table1,8)</f>
        <v>706</v>
      </c>
      <c r="D25" s="365">
        <f>IF(Axis_Count=1,"-",'Wrist Load Analysis'!R9)</f>
        <v>139.78458193878572</v>
      </c>
      <c r="E25" s="264"/>
      <c r="F25" s="791" t="s">
        <v>3961</v>
      </c>
      <c r="G25" s="172"/>
      <c r="H25" s="363"/>
    </row>
    <row r="26" spans="1:8">
      <c r="A26" s="264"/>
      <c r="B26" s="785" t="s">
        <v>3945</v>
      </c>
      <c r="C26" s="336">
        <f>VLOOKUP('Misc Data'!$B$26,Table1,9)</f>
        <v>141.1</v>
      </c>
      <c r="D26" s="365">
        <f>'Wrist Load Analysis'!R10</f>
        <v>27.04274728368501</v>
      </c>
      <c r="E26" s="264"/>
      <c r="F26" s="785" t="s">
        <v>3958</v>
      </c>
      <c r="G26" s="266"/>
      <c r="H26" s="326">
        <f>'Wrist Load Analysis'!R26</f>
        <v>19.200000000000003</v>
      </c>
    </row>
    <row r="27" spans="1:8">
      <c r="A27" s="264"/>
      <c r="B27" s="785" t="s">
        <v>3946</v>
      </c>
      <c r="C27" s="336">
        <f>VLOOKUP('Misc Data'!$B$26,Table1,10)</f>
        <v>141.1</v>
      </c>
      <c r="D27" s="365">
        <f>'Wrist Load Analysis'!R11</f>
        <v>26.811474691193251</v>
      </c>
      <c r="E27" s="264"/>
      <c r="F27" s="785" t="s">
        <v>3959</v>
      </c>
      <c r="G27" s="267"/>
      <c r="H27" s="326">
        <f>'Wrist Load Analysis'!R27</f>
        <v>19.100000000000001</v>
      </c>
    </row>
    <row r="28" spans="1:8" ht="13.5" thickBot="1">
      <c r="A28" s="264"/>
      <c r="B28" s="786" t="s">
        <v>3947</v>
      </c>
      <c r="C28" s="544">
        <f>VLOOKUP('Misc Data'!$B$26,Table1,11)</f>
        <v>78.400000000000006</v>
      </c>
      <c r="D28" s="545">
        <f>IF(Axis_Count=1,"-",'Wrist Load Analysis'!R12)</f>
        <v>19.699396040625246</v>
      </c>
      <c r="E28" s="264"/>
      <c r="F28" s="786" t="s">
        <v>3960</v>
      </c>
      <c r="G28" s="268"/>
      <c r="H28" s="327">
        <f>IF(Axis_Count=1,"-",'Wrist Load Analysis'!R28)</f>
        <v>25.200000000000003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F174741</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KJLTVR311410R01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1 - VACIA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101.95</v>
      </c>
      <c r="G9" s="355"/>
      <c r="H9" s="345"/>
      <c r="I9" s="345"/>
    </row>
    <row r="10" spans="1:12" ht="13.5">
      <c r="A10" s="345"/>
      <c r="B10" s="353"/>
      <c r="C10" s="356">
        <v>3</v>
      </c>
      <c r="D10" s="354" t="s">
        <v>3756</v>
      </c>
      <c r="E10" s="354" t="str">
        <f>IF($E$22=TRUE,"[m]","[cm]")</f>
        <v>[cm]</v>
      </c>
      <c r="F10" s="357">
        <f>IF(Load_Set_2=FALSE,"-",IF($E$22=TRUE,Load_Set_2/100,Load_Set_2))</f>
        <v>-12.965999999999999</v>
      </c>
      <c r="G10" s="355"/>
      <c r="H10" s="345"/>
      <c r="I10" s="345"/>
    </row>
    <row r="11" spans="1:12" ht="13.5">
      <c r="A11" s="345"/>
      <c r="B11" s="353"/>
      <c r="C11" s="356">
        <v>4</v>
      </c>
      <c r="D11" s="354" t="s">
        <v>3011</v>
      </c>
      <c r="E11" s="354" t="str">
        <f>IF($E$22=TRUE,"[m]","[cm]")</f>
        <v>[cm]</v>
      </c>
      <c r="F11" s="357">
        <f>IF(Load_Set_3=FALSE,"-",IF($E$22=TRUE,Load_Set_3/100,Load_Set_3))</f>
        <v>-5.2569999999999997</v>
      </c>
      <c r="G11" s="355"/>
      <c r="H11" s="345"/>
      <c r="I11" s="345"/>
    </row>
    <row r="12" spans="1:12" ht="13.5">
      <c r="A12" s="345"/>
      <c r="B12" s="447"/>
      <c r="C12" s="356">
        <v>5</v>
      </c>
      <c r="D12" s="354" t="s">
        <v>350</v>
      </c>
      <c r="E12" s="354" t="str">
        <f>IF($E$22=TRUE,"[m]","[cm]")</f>
        <v>[cm]</v>
      </c>
      <c r="F12" s="357">
        <f>IF(Load_Set_4=FALSE,"-",IF($E$22=TRUE,Load_Set_4/100,Load_Set_4))</f>
        <v>2.327</v>
      </c>
      <c r="G12" s="355"/>
      <c r="H12" s="345"/>
      <c r="I12" s="345"/>
    </row>
    <row r="13" spans="1:12" ht="13.5">
      <c r="A13" s="345"/>
      <c r="B13" s="353"/>
      <c r="C13" s="356">
        <v>6</v>
      </c>
      <c r="D13" s="354" t="s">
        <v>1116</v>
      </c>
      <c r="E13" s="354" t="str">
        <f>IF($E$22=TRUE,"[kgm^2]","[kgfcms^2]")</f>
        <v>[kgfcms^2]</v>
      </c>
      <c r="F13" s="357">
        <f>IF(Load_Set_5=FALSE,"-",IF($E$22=TRUE,Load_Set_5*0.098,Load_Set_5))</f>
        <v>36.015000000000001</v>
      </c>
      <c r="G13" s="355"/>
      <c r="H13" s="345"/>
      <c r="I13" s="345"/>
    </row>
    <row r="14" spans="1:12" ht="13.5">
      <c r="A14" s="345"/>
      <c r="B14" s="353"/>
      <c r="C14" s="356">
        <v>7</v>
      </c>
      <c r="D14" s="354" t="s">
        <v>1847</v>
      </c>
      <c r="E14" s="354" t="str">
        <f>IF($E$22=TRUE,"[kgm^2]","[kgfcms^2]")</f>
        <v>[kgfcms^2]</v>
      </c>
      <c r="F14" s="357">
        <f>IF(Load_Set_6=FALSE,"-",IF($E$22=TRUE,Load_Set_6*0.098,Load_Set_6))</f>
        <v>186.40299999999999</v>
      </c>
      <c r="G14" s="355"/>
      <c r="H14" s="345"/>
      <c r="I14" s="345"/>
    </row>
    <row r="15" spans="1:12" ht="13.5">
      <c r="A15" s="345"/>
      <c r="B15" s="353"/>
      <c r="C15" s="356">
        <v>8</v>
      </c>
      <c r="D15" s="354" t="s">
        <v>3012</v>
      </c>
      <c r="E15" s="354" t="str">
        <f>IF($E$22=TRUE,"[kgm^2]","[kgfcms^2]")</f>
        <v>[kgfcms^2]</v>
      </c>
      <c r="F15" s="357">
        <f>IF(Load_Set_7=FALSE,"-",IF($E$22=TRUE,Load_Set_7*0.098,Load_Set_7))</f>
        <v>180.65100000000001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101.95</v>
      </c>
      <c r="H6" s="625" t="s">
        <v>2962</v>
      </c>
      <c r="I6" s="551">
        <f>IF((Anal_Payload_Code=1),Anal_Input_1,IF((Anal_Payload_Code=2),Anal_Input_1,0))</f>
        <v>101.95</v>
      </c>
      <c r="J6" s="551">
        <f>IF((Anal_Payload_Code=1),Anal_Input_1,IF((Anal_Payload_Code=2),Anal_Input_1,0))</f>
        <v>101.95</v>
      </c>
      <c r="K6" s="551">
        <f>IF((Anal_Payload_Code=1),Anal_Input_1,IF((Anal_Payload_Code=2),Anal_Input_1,0))</f>
        <v>101.95</v>
      </c>
      <c r="L6" s="7"/>
    </row>
    <row r="7" spans="2:18">
      <c r="B7" s="8" t="s">
        <v>2963</v>
      </c>
      <c r="C7" s="626">
        <f t="shared" ref="C7:C12" si="0">IF(Anal_Robot_Code=10105,J7,IF(Anal_Robot_Code=10112,J7,IF(Anal_Robot_Code=10111,K7,I7)))</f>
        <v>-0.12965750000000001</v>
      </c>
      <c r="D7" s="290"/>
      <c r="E7" s="290"/>
      <c r="H7" s="8" t="s">
        <v>2963</v>
      </c>
      <c r="I7" s="551">
        <f>IF((Anal_Payload_Code=1),Anal_Input_2,IF((Anal_Payload_Code=2),Anal_Input_2*0.01,0))</f>
        <v>-0.12965750000000001</v>
      </c>
      <c r="J7" s="552">
        <f>(0.007+L9)*SIN(RADIANS(30))+L7*COS(RADIANS(30))</f>
        <v>-9.7153123791180865E-2</v>
      </c>
      <c r="K7" s="552">
        <f>(0.01+L9)*SIN(RADIANS(30))+L7*COS(RADIANS(30))</f>
        <v>-9.5653123791180877E-2</v>
      </c>
      <c r="L7" s="439">
        <f>IF((Anal_Payload_Code=1),Anal_Input_2,IF((Anal_Payload_Code=2),Anal_Input_2*0.01,0))</f>
        <v>-0.12965750000000001</v>
      </c>
    </row>
    <row r="8" spans="2:18">
      <c r="B8" s="8" t="s">
        <v>2964</v>
      </c>
      <c r="C8" s="626">
        <f t="shared" si="0"/>
        <v>-5.2568900000000002E-2</v>
      </c>
      <c r="D8" s="290"/>
      <c r="E8" s="290"/>
      <c r="H8" s="8" t="s">
        <v>2964</v>
      </c>
      <c r="I8" s="551">
        <f>IF((Anal_Payload_Code=1),Anal_Input_3,IF((Anal_Payload_Code=2),Anal_Input_3*0.01,0))</f>
        <v>-5.2568900000000002E-2</v>
      </c>
      <c r="J8" s="551">
        <f>IF((Anal_Payload_Code=1),Anal_Input_3,IF((Anal_Payload_Code=2),Anal_Input_3*0.01,0))</f>
        <v>-5.2568900000000002E-2</v>
      </c>
      <c r="K8" s="551">
        <f>IF((Anal_Payload_Code=1),Anal_Input_3,IF((Anal_Payload_Code=2),Anal_Input_3*0.01,0))</f>
        <v>-5.2568900000000002E-2</v>
      </c>
      <c r="L8" s="7"/>
    </row>
    <row r="9" spans="2:18">
      <c r="B9" s="8" t="s">
        <v>840</v>
      </c>
      <c r="C9" s="626">
        <f t="shared" si="0"/>
        <v>2.326713E-2</v>
      </c>
      <c r="D9" s="290"/>
      <c r="E9" s="290"/>
      <c r="H9" s="8" t="s">
        <v>840</v>
      </c>
      <c r="I9" s="551">
        <f>IF((Anal_Payload_Code=1),Anal_Input_4,IF((Anal_Payload_Code=2),Anal_Input_4*0.01,0))</f>
        <v>2.326713E-2</v>
      </c>
      <c r="J9" s="552">
        <f>(0.007+L9)*COS(RADIANS(30))-L7*SIN(RADIANS(30))</f>
        <v>9.1040853479646092E-2</v>
      </c>
      <c r="K9" s="552">
        <f>(0.01+L9)*COS(RADIANS(30))-L7*SIN(RADIANS(30))</f>
        <v>9.3638929690999406E-2</v>
      </c>
      <c r="L9" s="439">
        <f>IF((Anal_Payload_Code=1),Anal_Input_4,IF((Anal_Payload_Code=2),Anal_Input_4*0.01,0))</f>
        <v>2.326713E-2</v>
      </c>
    </row>
    <row r="10" spans="2:18">
      <c r="B10" s="8" t="s">
        <v>2965</v>
      </c>
      <c r="C10" s="626">
        <f t="shared" si="0"/>
        <v>3.52948</v>
      </c>
      <c r="D10" s="290"/>
      <c r="E10" s="290"/>
      <c r="H10" s="8" t="s">
        <v>2965</v>
      </c>
      <c r="I10" s="551">
        <f>IF((Anal_Payload_Code=1),Anal_Input_5,IF((Anal_Payload_Code=2),Anal_Input_5*0.098,0))</f>
        <v>3.52948</v>
      </c>
      <c r="J10" s="552">
        <f>L10*(COS(RADIANS(30)))^2+L12*(SIN(RADIANS(30)))^2</f>
        <v>7.0730524999999993</v>
      </c>
      <c r="K10" s="552">
        <f>L10*(COS(RADIANS(30)))^2+L12*(SIN(RADIANS(30)))^2</f>
        <v>7.0730524999999993</v>
      </c>
      <c r="L10" s="439">
        <f>IF((Anal_Payload_Code=1),Anal_Input_5,IF((Anal_Payload_Code=2),Anal_Input_5*0.098,0))</f>
        <v>3.52948</v>
      </c>
    </row>
    <row r="11" spans="2:18">
      <c r="B11" s="8" t="s">
        <v>2362</v>
      </c>
      <c r="C11" s="626">
        <f t="shared" si="0"/>
        <v>18.267520000000001</v>
      </c>
      <c r="D11" s="290"/>
      <c r="E11" s="290"/>
      <c r="H11" s="8" t="s">
        <v>2362</v>
      </c>
      <c r="I11" s="551">
        <f>IF((Anal_Payload_Code=1),Anal_Input_6,IF((Anal_Payload_Code=2),Anal_Input_6*0.098,0))</f>
        <v>18.267520000000001</v>
      </c>
      <c r="J11" s="551">
        <f>IF((Anal_Payload_Code=1),Anal_Input_6,IF((Anal_Payload_Code=2),Anal_Input_6*0.098,0))</f>
        <v>18.267520000000001</v>
      </c>
      <c r="K11" s="551">
        <f>IF((Anal_Payload_Code=1),Anal_Input_6,IF((Anal_Payload_Code=2),Anal_Input_6*0.098,0))</f>
        <v>18.267520000000001</v>
      </c>
      <c r="L11" s="7"/>
    </row>
    <row r="12" spans="2:18">
      <c r="B12" s="8" t="s">
        <v>2363</v>
      </c>
      <c r="C12" s="626">
        <f t="shared" si="0"/>
        <v>17.703769999999999</v>
      </c>
      <c r="D12" s="290"/>
      <c r="E12" s="290"/>
      <c r="H12" s="8" t="s">
        <v>2363</v>
      </c>
      <c r="I12" s="551">
        <f>IF((Anal_Payload_Code=1),Anal_Input_7,IF((Anal_Payload_Code=2),Anal_Input_7*0.098,0))</f>
        <v>17.703769999999999</v>
      </c>
      <c r="J12" s="552">
        <f>L12*(COS(RADIANS(30)))^2+L10*(SIN(RADIANS(30)))^2</f>
        <v>14.160197500000001</v>
      </c>
      <c r="K12" s="552">
        <f>L12*(COS(RADIANS(30)))^2+L10*(SIN(RADIANS(30)))^2</f>
        <v>14.160197500000001</v>
      </c>
      <c r="L12" s="439">
        <f>IF((Anal_Payload_Code=1),Anal_Input_7,IF((Anal_Payload_Code=2),Anal_Input_7*0.098,0))</f>
        <v>17.703769999999999</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101.95</v>
      </c>
      <c r="Y18" s="634"/>
    </row>
    <row r="19" spans="2:27" s="625" customFormat="1" ht="15" thickBot="1">
      <c r="B19" s="635"/>
      <c r="C19" s="631" t="s">
        <v>1863</v>
      </c>
      <c r="D19" s="632" t="s">
        <v>1861</v>
      </c>
      <c r="E19" s="633">
        <f t="shared" ref="E19:E24" si="1">C7</f>
        <v>-0.12965750000000001</v>
      </c>
      <c r="Y19" s="634"/>
    </row>
    <row r="20" spans="2:27" s="625" customFormat="1" ht="15" thickBot="1">
      <c r="B20" s="636" t="s">
        <v>3276</v>
      </c>
      <c r="C20" s="631" t="s">
        <v>3277</v>
      </c>
      <c r="D20" s="632" t="s">
        <v>1861</v>
      </c>
      <c r="E20" s="633">
        <f t="shared" si="1"/>
        <v>-5.2568900000000002E-2</v>
      </c>
      <c r="Y20" s="634"/>
    </row>
    <row r="21" spans="2:27" s="625" customFormat="1" ht="15" thickBot="1">
      <c r="B21" s="637"/>
      <c r="C21" s="631" t="s">
        <v>3278</v>
      </c>
      <c r="D21" s="632" t="s">
        <v>1861</v>
      </c>
      <c r="E21" s="633">
        <f t="shared" si="1"/>
        <v>2.326713E-2</v>
      </c>
      <c r="Y21" s="634"/>
    </row>
    <row r="22" spans="2:27" s="625" customFormat="1" ht="15" thickBot="1">
      <c r="B22" s="638"/>
      <c r="C22" s="631" t="s">
        <v>3279</v>
      </c>
      <c r="D22" s="632" t="s">
        <v>3280</v>
      </c>
      <c r="E22" s="633">
        <f t="shared" si="1"/>
        <v>3.52948</v>
      </c>
      <c r="Y22" s="634"/>
      <c r="AA22" s="639"/>
    </row>
    <row r="23" spans="2:27" s="625" customFormat="1" ht="15" thickBot="1">
      <c r="B23" s="636" t="s">
        <v>3281</v>
      </c>
      <c r="C23" s="631" t="s">
        <v>3282</v>
      </c>
      <c r="D23" s="632" t="s">
        <v>3280</v>
      </c>
      <c r="E23" s="633">
        <f t="shared" si="1"/>
        <v>18.267520000000001</v>
      </c>
      <c r="Y23" s="634"/>
    </row>
    <row r="24" spans="2:27" s="625" customFormat="1" ht="15" thickBot="1">
      <c r="B24" s="640"/>
      <c r="C24" s="631" t="s">
        <v>3283</v>
      </c>
      <c r="D24" s="632" t="s">
        <v>3280</v>
      </c>
      <c r="E24" s="633">
        <f t="shared" si="1"/>
        <v>17.703769999999999</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293.46714163640343</v>
      </c>
      <c r="F31" s="643">
        <f>SQRT((SQRT($E$19^2+$E$20^2)+SQRT(($E$27+$E$28*COS($P$31*PI()/180))^2+$E$28^2*SIN($P$31*PI()/180)^2))^2+($E$21+$E$26)^2)</f>
        <v>0.29372856005485221</v>
      </c>
      <c r="H31" s="646" t="s">
        <v>2365</v>
      </c>
      <c r="I31" s="646" t="s">
        <v>19</v>
      </c>
      <c r="N31" s="652" t="s">
        <v>20</v>
      </c>
      <c r="O31" s="641"/>
      <c r="P31" s="633">
        <v>90</v>
      </c>
    </row>
    <row r="32" spans="2:27" s="625" customFormat="1" ht="14.25">
      <c r="B32" s="650" t="s">
        <v>21</v>
      </c>
      <c r="C32" s="649" t="s">
        <v>1618</v>
      </c>
      <c r="D32" s="643" t="s">
        <v>22</v>
      </c>
      <c r="E32" s="651">
        <f>$E$18*9.8*F32</f>
        <v>293.46714163640343</v>
      </c>
      <c r="F32" s="643">
        <f>SQRT((SQRT($E$19^2+$E$20^2)+$E$28*SIN($P$31*PI()/180))^2+($E$21+$E$26)^2)</f>
        <v>0.29372856005485221</v>
      </c>
      <c r="H32" s="646" t="s">
        <v>2366</v>
      </c>
      <c r="I32" s="646" t="s">
        <v>2162</v>
      </c>
      <c r="N32" s="646" t="s">
        <v>2163</v>
      </c>
    </row>
    <row r="33" spans="1:28" s="625" customFormat="1">
      <c r="B33" s="653"/>
      <c r="C33" s="649" t="s">
        <v>270</v>
      </c>
      <c r="D33" s="643" t="s">
        <v>2164</v>
      </c>
      <c r="E33" s="651">
        <f>$E$18*9.8*F33</f>
        <v>139.78458193878572</v>
      </c>
      <c r="F33" s="643">
        <f>SQRT($E$19^2+$E$20^2)</f>
        <v>0.13990910103871015</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27.04274728368501</v>
      </c>
      <c r="F36" s="643">
        <f>$E$18*$F31^2+MAX($E$22:$E$24)</f>
        <v>27.063405809823891</v>
      </c>
      <c r="G36" s="654" t="s">
        <v>2181</v>
      </c>
      <c r="H36" s="655">
        <f>$J$43</f>
        <v>27.042575466179457</v>
      </c>
      <c r="I36" s="655">
        <f>$J$89</f>
        <v>27.04274728368501</v>
      </c>
      <c r="J36" s="643">
        <f>$N$89</f>
        <v>79.414637677028495</v>
      </c>
      <c r="K36" s="643">
        <f>$B$89</f>
        <v>89.801638018347148</v>
      </c>
    </row>
    <row r="37" spans="1:28" s="625" customFormat="1" ht="14.25">
      <c r="B37" s="650" t="s">
        <v>2182</v>
      </c>
      <c r="C37" s="649" t="s">
        <v>1618</v>
      </c>
      <c r="D37" s="643" t="s">
        <v>2180</v>
      </c>
      <c r="E37" s="651">
        <f>MAX(H37:I37)</f>
        <v>26.811474691193251</v>
      </c>
      <c r="F37" s="643">
        <f>$E$18*$F32^2+MAX($E$22:$E$23)</f>
        <v>27.063405809823891</v>
      </c>
      <c r="G37" s="655">
        <f>IF(E28=0,SQRT((E18*E19^2-E18*E20^2-E22+E23)^2/4+(E18*E19*E20)^2)+(E18*E19^2+E18*E20^2+E22+E23)/2+E18*(E21+E26)^2,"---")</f>
        <v>26.811474691193254</v>
      </c>
      <c r="H37" s="655">
        <f>$K$44</f>
        <v>26.781668081070833</v>
      </c>
      <c r="I37" s="655">
        <f>$K$90</f>
        <v>26.811474691193251</v>
      </c>
      <c r="J37" s="654" t="s">
        <v>2181</v>
      </c>
      <c r="K37" s="654">
        <f>$B$90</f>
        <v>357.543847583478</v>
      </c>
    </row>
    <row r="38" spans="1:28" s="625" customFormat="1">
      <c r="B38" s="653"/>
      <c r="C38" s="649" t="s">
        <v>270</v>
      </c>
      <c r="D38" s="643" t="s">
        <v>2180</v>
      </c>
      <c r="E38" s="651">
        <f>G38</f>
        <v>19.699396040625246</v>
      </c>
      <c r="F38" s="643">
        <f>$E$18*$F33^2+$E$24</f>
        <v>19.699396040625246</v>
      </c>
      <c r="G38" s="655">
        <f>$E$18*($E$19^2+$E$20^2)+$E$24</f>
        <v>19.699396040625246</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27.042575466179457</v>
      </c>
    </row>
    <row r="44" spans="1:28" s="625" customFormat="1" ht="14.25">
      <c r="B44" s="629" t="s">
        <v>2905</v>
      </c>
      <c r="I44" s="658" t="s">
        <v>2906</v>
      </c>
      <c r="J44" s="643">
        <f>MAX(J46:J70)</f>
        <v>27.042575466179457</v>
      </c>
      <c r="K44" s="643">
        <f>MAX(K46:K70)</f>
        <v>26.781668081070833</v>
      </c>
      <c r="L44" s="659">
        <f>MAX(L46:L70)</f>
        <v>26.781668081070833</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-0.12965750000000001</v>
      </c>
      <c r="D46" s="643">
        <f t="shared" ref="D46:D70" si="3">$E$19*SIN(B46*PI()/180)+$E$20*COS(B46*PI()/180)</f>
        <v>-5.2568900000000002E-2</v>
      </c>
      <c r="E46" s="643">
        <f t="shared" ref="E46:E70" si="4">$E$22*COS(B46*PI()/180)^2+$E$23*SIN(B46*PI()/180)^2</f>
        <v>3.52948</v>
      </c>
      <c r="F46" s="643">
        <f t="shared" ref="F46:F70" si="5">$E$22*SIN(B46*PI()/180)^2+$E$23*COS(B46*PI()/180)^2</f>
        <v>18.267520000000001</v>
      </c>
      <c r="G46" s="643">
        <f t="shared" ref="G46:G70" si="6">($E$18*(C46+$E$28)^2-$E$18*($E$21+$E$26)^2+$E$24-E46)/2</f>
        <v>4.5439592713367727</v>
      </c>
      <c r="H46" s="643">
        <f t="shared" ref="H46:H70" si="7">$E$18*(C46+$E$28)*($E$21+$E$26)</f>
        <v>-3.4139252680930516</v>
      </c>
      <c r="I46" s="643">
        <f t="shared" ref="I46:I70" si="8">$E$18*((C46+$E$28)^2+($E$21+$E$26)^2)/2+$E$18*(D46+$E$27)^2+($E$24+E46)/2</f>
        <v>15.155436769288475</v>
      </c>
      <c r="J46" s="643">
        <f>SQRT(G46^2+H46^2)+I46</f>
        <v>20.838961344381964</v>
      </c>
      <c r="K46" s="643">
        <f t="shared" ref="K46:K70" si="9">$E$18*((C46+$E$28)^2+($E$21+$E$26)^2)+F46</f>
        <v>26.781668081070833</v>
      </c>
      <c r="L46" s="670">
        <f t="shared" ref="L46:L70" si="10">$E$18*((D46+$E$28)^2+($E$21+$E$26)^2)+E46</f>
        <v>10.611477497951702</v>
      </c>
      <c r="M46" s="671"/>
      <c r="N46" s="638">
        <f>O53*180/PI()-INT(O53*180/PI()/360)*360</f>
        <v>357.543847583478</v>
      </c>
      <c r="O46" s="643">
        <f>INDEX($B46:$B72,MATCH(K44,K46:K70,0))</f>
        <v>0</v>
      </c>
      <c r="P46" s="643">
        <f>($E$18*$E$19^2-$E$18*$E$20^2+$E$23-$E$22)/2</f>
        <v>8.0850952915595649</v>
      </c>
      <c r="Q46" s="643">
        <f>-$E$18*$E$19*$E$20</f>
        <v>-0.69488632187091259</v>
      </c>
      <c r="R46" s="672" t="s">
        <v>1320</v>
      </c>
      <c r="T46" s="673"/>
      <c r="U46" s="674" t="s">
        <v>1321</v>
      </c>
      <c r="V46" s="675"/>
      <c r="W46" s="675"/>
      <c r="X46" s="675"/>
      <c r="Y46" s="675"/>
      <c r="Z46" s="675"/>
      <c r="AA46" s="675"/>
      <c r="AB46" s="676"/>
    </row>
    <row r="47" spans="1:28" s="625" customFormat="1">
      <c r="A47" s="643">
        <f>A46+1</f>
        <v>1</v>
      </c>
      <c r="B47" s="643">
        <f>B46+15</f>
        <v>15</v>
      </c>
      <c r="C47" s="643">
        <f t="shared" si="2"/>
        <v>-0.11163369532198497</v>
      </c>
      <c r="D47" s="643">
        <f t="shared" si="3"/>
        <v>-8.4335488509987483E-2</v>
      </c>
      <c r="E47" s="643">
        <f t="shared" si="4"/>
        <v>4.5167414790043958</v>
      </c>
      <c r="F47" s="643">
        <f t="shared" si="5"/>
        <v>17.280258520995609</v>
      </c>
      <c r="G47" s="643">
        <f t="shared" si="6"/>
        <v>3.8286390023435293</v>
      </c>
      <c r="H47" s="643">
        <f t="shared" si="7"/>
        <v>-2.9393524727094502</v>
      </c>
      <c r="I47" s="643">
        <f t="shared" si="8"/>
        <v>15.870757038281717</v>
      </c>
      <c r="J47" s="643">
        <f t="shared" ref="J47:J70" si="11">SQRT(G47^2+H47^2)+I47</f>
        <v>20.697585144718616</v>
      </c>
      <c r="K47" s="643">
        <f t="shared" si="9"/>
        <v>25.351027543084349</v>
      </c>
      <c r="L47" s="670">
        <f t="shared" si="10"/>
        <v>12.042118035938188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-8.6002238791180866E-2</v>
      </c>
      <c r="D48" s="643">
        <f t="shared" si="3"/>
        <v>-0.11035475284900377</v>
      </c>
      <c r="E48" s="643">
        <f t="shared" si="4"/>
        <v>7.2139899999999999</v>
      </c>
      <c r="F48" s="643">
        <f t="shared" si="5"/>
        <v>14.583010000000003</v>
      </c>
      <c r="G48" s="643">
        <f t="shared" si="6"/>
        <v>2.2217908447056112</v>
      </c>
      <c r="H48" s="643">
        <f t="shared" si="7"/>
        <v>-2.2644676638203327</v>
      </c>
      <c r="I48" s="643">
        <f t="shared" si="8"/>
        <v>17.477605195919637</v>
      </c>
      <c r="J48" s="643">
        <f t="shared" si="11"/>
        <v>20.650012540209708</v>
      </c>
      <c r="K48" s="643">
        <f t="shared" si="9"/>
        <v>22.137331227808509</v>
      </c>
      <c r="L48" s="670">
        <f t="shared" si="10"/>
        <v>15.255814351214024</v>
      </c>
      <c r="M48" s="671"/>
      <c r="N48" s="643">
        <v>1</v>
      </c>
      <c r="O48" s="643">
        <f>O46*PI()/180</f>
        <v>0</v>
      </c>
      <c r="P48" s="643">
        <f t="shared" ref="P48:P53" si="14">-2*$P$46*SIN(2*O48)+2*$Q$46*COS(2*O48)+2*$E$18*$E$28*(-$E$19*SIN(O48)-$E$20*COS(O48))</f>
        <v>-1.3897726437418252</v>
      </c>
      <c r="Q48" s="643">
        <f t="shared" ref="Q48:Q53" si="15">-4*$P$46*COS(2*O48)-4*$Q$46*SIN(2*O48)+2*$E$18*$E$28*(-$E$19*COS(O48)+$E$20*SIN(O48))</f>
        <v>-32.340381166238259</v>
      </c>
      <c r="R48" s="643">
        <f t="shared" ref="R48:R53" si="16">IF(Q48=0,O48,O48-P48/Q48)</f>
        <v>-4.2973292015267846E-2</v>
      </c>
      <c r="T48" s="673"/>
      <c r="U48" s="674" t="s">
        <v>2383</v>
      </c>
      <c r="V48" s="675"/>
      <c r="W48" s="675"/>
      <c r="X48" s="675"/>
      <c r="Y48" s="675"/>
      <c r="Z48" s="675"/>
      <c r="AA48" s="675"/>
      <c r="AB48" s="676"/>
    </row>
    <row r="49" spans="1:28" s="625" customFormat="1">
      <c r="A49" s="643">
        <f t="shared" si="12"/>
        <v>3</v>
      </c>
      <c r="B49" s="643">
        <f t="shared" si="13"/>
        <v>45</v>
      </c>
      <c r="C49" s="643">
        <f t="shared" si="2"/>
        <v>-5.4509871812177306E-2</v>
      </c>
      <c r="D49" s="643">
        <f t="shared" si="3"/>
        <v>-0.12885352315121229</v>
      </c>
      <c r="E49" s="643">
        <f t="shared" si="4"/>
        <v>10.898499999999999</v>
      </c>
      <c r="F49" s="643">
        <f t="shared" si="5"/>
        <v>10.898500000000002</v>
      </c>
      <c r="G49" s="643">
        <f t="shared" si="6"/>
        <v>0.15396846462153491</v>
      </c>
      <c r="H49" s="643">
        <f t="shared" si="7"/>
        <v>-1.4352631258516113</v>
      </c>
      <c r="I49" s="643">
        <f t="shared" si="8"/>
        <v>19.545427576003711</v>
      </c>
      <c r="J49" s="643">
        <f t="shared" si="11"/>
        <v>20.988925594196758</v>
      </c>
      <c r="K49" s="643">
        <f t="shared" si="9"/>
        <v>18.001686467640354</v>
      </c>
      <c r="L49" s="670">
        <f t="shared" si="10"/>
        <v>19.391459111382176</v>
      </c>
      <c r="M49" s="671"/>
      <c r="N49" s="643">
        <f>N48+1</f>
        <v>2</v>
      </c>
      <c r="O49" s="643">
        <f>R48</f>
        <v>-4.2973292015267846E-2</v>
      </c>
      <c r="P49" s="643">
        <f t="shared" si="14"/>
        <v>3.419470845881456E-3</v>
      </c>
      <c r="Q49" s="643">
        <f t="shared" si="15"/>
        <v>-32.459606886276788</v>
      </c>
      <c r="R49" s="643">
        <f t="shared" si="16"/>
        <v>-4.2867946597565723E-2</v>
      </c>
      <c r="T49" s="673"/>
      <c r="U49" s="674" t="s">
        <v>2384</v>
      </c>
      <c r="V49" s="675"/>
      <c r="W49" s="675"/>
      <c r="X49" s="675" t="s">
        <v>2385</v>
      </c>
      <c r="Y49" s="675"/>
      <c r="Z49" s="675"/>
      <c r="AA49" s="675"/>
      <c r="AB49" s="676"/>
    </row>
    <row r="50" spans="1:28" s="625" customFormat="1">
      <c r="A50" s="643">
        <f t="shared" si="12"/>
        <v>4</v>
      </c>
      <c r="B50" s="643">
        <f t="shared" si="13"/>
        <v>60</v>
      </c>
      <c r="C50" s="643">
        <f t="shared" si="2"/>
        <v>-1.9302747150996245E-2</v>
      </c>
      <c r="D50" s="643">
        <f t="shared" si="3"/>
        <v>-0.13857113879118085</v>
      </c>
      <c r="E50" s="643">
        <f t="shared" si="4"/>
        <v>14.583009999999998</v>
      </c>
      <c r="F50" s="643">
        <f t="shared" si="5"/>
        <v>7.2139900000000017</v>
      </c>
      <c r="G50" s="643">
        <f t="shared" si="6"/>
        <v>-1.8207568010741699</v>
      </c>
      <c r="H50" s="643">
        <f t="shared" si="7"/>
        <v>-0.50824777774056451</v>
      </c>
      <c r="I50" s="643">
        <f t="shared" si="8"/>
        <v>21.520152841699414</v>
      </c>
      <c r="J50" s="643">
        <f t="shared" si="11"/>
        <v>23.410515540293538</v>
      </c>
      <c r="K50" s="643">
        <f t="shared" si="9"/>
        <v>14.052235936248945</v>
      </c>
      <c r="L50" s="670">
        <f t="shared" si="10"/>
        <v>23.340909642773589</v>
      </c>
      <c r="M50" s="671"/>
      <c r="N50" s="643">
        <f>N49+1</f>
        <v>3</v>
      </c>
      <c r="O50" s="643">
        <f>R49</f>
        <v>-4.2867946597565723E-2</v>
      </c>
      <c r="P50" s="643">
        <f t="shared" si="14"/>
        <v>-5.0597748213476734E-11</v>
      </c>
      <c r="Q50" s="643">
        <f t="shared" si="15"/>
        <v>-32.459607606727943</v>
      </c>
      <c r="R50" s="643">
        <f t="shared" si="16"/>
        <v>-4.2867946599124511E-2</v>
      </c>
      <c r="T50" s="673"/>
      <c r="U50" s="674" t="s">
        <v>2386</v>
      </c>
      <c r="V50" s="675"/>
      <c r="W50" s="675"/>
      <c r="X50" s="675"/>
      <c r="Y50" s="675"/>
      <c r="Z50" s="675" t="s">
        <v>2387</v>
      </c>
      <c r="AA50" s="675"/>
      <c r="AB50" s="676"/>
    </row>
    <row r="51" spans="1:28" s="625" customFormat="1">
      <c r="A51" s="643">
        <f t="shared" si="12"/>
        <v>5</v>
      </c>
      <c r="B51" s="643">
        <f t="shared" si="13"/>
        <v>75</v>
      </c>
      <c r="C51" s="643">
        <f t="shared" si="2"/>
        <v>1.7219827829227326E-2</v>
      </c>
      <c r="D51" s="643">
        <f t="shared" si="3"/>
        <v>-0.13884536032216477</v>
      </c>
      <c r="E51" s="643">
        <f t="shared" si="4"/>
        <v>17.280258520995609</v>
      </c>
      <c r="F51" s="643">
        <f t="shared" si="5"/>
        <v>4.5167414790043958</v>
      </c>
      <c r="G51" s="643">
        <f t="shared" si="6"/>
        <v>-3.1732589121650081</v>
      </c>
      <c r="H51" s="643">
        <f t="shared" si="7"/>
        <v>0.45340381650433709</v>
      </c>
      <c r="I51" s="643">
        <f t="shared" si="8"/>
        <v>22.872654952790253</v>
      </c>
      <c r="J51" s="643">
        <f t="shared" si="11"/>
        <v>26.078141989802781</v>
      </c>
      <c r="K51" s="643">
        <f t="shared" si="9"/>
        <v>11.347231714067274</v>
      </c>
      <c r="L51" s="670">
        <f t="shared" si="10"/>
        <v>26.04591386495526</v>
      </c>
      <c r="M51" s="671"/>
      <c r="N51" s="643">
        <f>N50+1</f>
        <v>4</v>
      </c>
      <c r="O51" s="643">
        <f>R50</f>
        <v>-4.2867946599124511E-2</v>
      </c>
      <c r="P51" s="643">
        <f t="shared" si="14"/>
        <v>-2.2204460492503131E-16</v>
      </c>
      <c r="Q51" s="643">
        <f t="shared" si="15"/>
        <v>-32.45960760672795</v>
      </c>
      <c r="R51" s="643">
        <f t="shared" si="16"/>
        <v>-4.2867946599124518E-2</v>
      </c>
      <c r="T51" s="679"/>
      <c r="U51" s="680" t="s">
        <v>2388</v>
      </c>
      <c r="V51" s="681"/>
      <c r="W51" s="681"/>
      <c r="X51" s="681"/>
      <c r="Y51" s="681"/>
      <c r="Z51" s="681"/>
      <c r="AA51" s="681"/>
      <c r="AB51" s="682"/>
    </row>
    <row r="52" spans="1:28" s="625" customFormat="1">
      <c r="A52" s="643">
        <f t="shared" si="12"/>
        <v>6</v>
      </c>
      <c r="B52" s="643">
        <f t="shared" si="13"/>
        <v>90</v>
      </c>
      <c r="C52" s="643">
        <f t="shared" si="2"/>
        <v>5.2568899999999995E-2</v>
      </c>
      <c r="D52" s="643">
        <f t="shared" si="3"/>
        <v>-0.12965750000000001</v>
      </c>
      <c r="E52" s="643">
        <f t="shared" si="4"/>
        <v>18.267520000000001</v>
      </c>
      <c r="F52" s="643">
        <f t="shared" si="5"/>
        <v>3.52948</v>
      </c>
      <c r="G52" s="643">
        <f t="shared" si="6"/>
        <v>-3.5411360202227922</v>
      </c>
      <c r="H52" s="643">
        <f t="shared" si="7"/>
        <v>1.3841566899397011</v>
      </c>
      <c r="I52" s="643">
        <f t="shared" si="8"/>
        <v>23.240532060848036</v>
      </c>
      <c r="J52" s="643">
        <f t="shared" si="11"/>
        <v>27.042575466179457</v>
      </c>
      <c r="K52" s="643">
        <f t="shared" si="9"/>
        <v>10.611477497951702</v>
      </c>
      <c r="L52" s="670">
        <f t="shared" si="10"/>
        <v>26.781668081070833</v>
      </c>
      <c r="M52" s="671"/>
      <c r="N52" s="643">
        <f>N51+1</f>
        <v>5</v>
      </c>
      <c r="O52" s="643">
        <f>R51</f>
        <v>-4.2867946599124518E-2</v>
      </c>
      <c r="P52" s="643">
        <f t="shared" si="14"/>
        <v>0</v>
      </c>
      <c r="Q52" s="643">
        <f t="shared" si="15"/>
        <v>-32.45960760672795</v>
      </c>
      <c r="R52" s="643">
        <f t="shared" si="16"/>
        <v>-4.2867946599124518E-2</v>
      </c>
      <c r="T52" s="666" t="s">
        <v>2055</v>
      </c>
      <c r="U52" s="667" t="s">
        <v>2056</v>
      </c>
      <c r="V52" s="668"/>
      <c r="W52" s="668"/>
      <c r="X52" s="668"/>
      <c r="Y52" s="668"/>
      <c r="Z52" s="668"/>
      <c r="AA52" s="668"/>
      <c r="AB52" s="669"/>
    </row>
    <row r="53" spans="1:28" s="625" customFormat="1">
      <c r="A53" s="643">
        <f t="shared" si="12"/>
        <v>7</v>
      </c>
      <c r="B53" s="643">
        <f t="shared" si="13"/>
        <v>105</v>
      </c>
      <c r="C53" s="643">
        <f t="shared" si="2"/>
        <v>8.4335488509987511E-2</v>
      </c>
      <c r="D53" s="643">
        <f t="shared" si="3"/>
        <v>-0.11163369532198496</v>
      </c>
      <c r="E53" s="643">
        <f t="shared" si="4"/>
        <v>17.280258520995609</v>
      </c>
      <c r="F53" s="643">
        <f t="shared" si="5"/>
        <v>4.5167414790043967</v>
      </c>
      <c r="G53" s="643">
        <f t="shared" si="6"/>
        <v>-2.8258157512295519</v>
      </c>
      <c r="H53" s="643">
        <f t="shared" si="7"/>
        <v>2.2205815723827587</v>
      </c>
      <c r="I53" s="643">
        <f t="shared" si="8"/>
        <v>22.525211791854797</v>
      </c>
      <c r="J53" s="643">
        <f t="shared" si="11"/>
        <v>26.119125700047775</v>
      </c>
      <c r="K53" s="643">
        <f t="shared" si="9"/>
        <v>12.042118035938188</v>
      </c>
      <c r="L53" s="670">
        <f t="shared" si="10"/>
        <v>25.351027543084349</v>
      </c>
      <c r="M53" s="671"/>
      <c r="N53" s="643">
        <f>N52+1</f>
        <v>6</v>
      </c>
      <c r="O53" s="643">
        <f>R52</f>
        <v>-4.2867946599124518E-2</v>
      </c>
      <c r="P53" s="643">
        <f t="shared" si="14"/>
        <v>0</v>
      </c>
      <c r="Q53" s="643">
        <f t="shared" si="15"/>
        <v>-32.45960760672795</v>
      </c>
      <c r="R53" s="643">
        <f t="shared" si="16"/>
        <v>-4.2867946599124518E-2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0.11035475284900376</v>
      </c>
      <c r="D54" s="643">
        <f t="shared" si="3"/>
        <v>-8.6002238791180879E-2</v>
      </c>
      <c r="E54" s="643">
        <f t="shared" si="4"/>
        <v>14.583010000000003</v>
      </c>
      <c r="F54" s="643">
        <f t="shared" si="5"/>
        <v>7.2139899999999963</v>
      </c>
      <c r="G54" s="643">
        <f t="shared" si="6"/>
        <v>-1.2189675935916329</v>
      </c>
      <c r="H54" s="643">
        <f t="shared" si="7"/>
        <v>2.9056774903524869</v>
      </c>
      <c r="I54" s="643">
        <f t="shared" si="8"/>
        <v>20.918363634216878</v>
      </c>
      <c r="J54" s="643">
        <f t="shared" si="11"/>
        <v>24.069370405419964</v>
      </c>
      <c r="K54" s="643">
        <f t="shared" si="9"/>
        <v>15.255814351214021</v>
      </c>
      <c r="L54" s="670">
        <f t="shared" si="10"/>
        <v>22.137331227808509</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0.12885352315121229</v>
      </c>
      <c r="D55" s="643">
        <f t="shared" si="3"/>
        <v>-5.4509871812177306E-2</v>
      </c>
      <c r="E55" s="643">
        <f t="shared" si="4"/>
        <v>10.898500000000002</v>
      </c>
      <c r="F55" s="643">
        <f t="shared" si="5"/>
        <v>10.898499999999999</v>
      </c>
      <c r="G55" s="643">
        <f t="shared" si="6"/>
        <v>0.84885478649244561</v>
      </c>
      <c r="H55" s="643">
        <f t="shared" si="7"/>
        <v>3.392756289213787</v>
      </c>
      <c r="I55" s="643">
        <f t="shared" si="8"/>
        <v>18.8505412541328</v>
      </c>
      <c r="J55" s="643">
        <f t="shared" si="11"/>
        <v>22.34787590877351</v>
      </c>
      <c r="K55" s="643">
        <f t="shared" si="9"/>
        <v>19.391459111382176</v>
      </c>
      <c r="L55" s="670">
        <f t="shared" si="10"/>
        <v>18.001686467640354</v>
      </c>
      <c r="M55" s="671"/>
      <c r="T55" s="673"/>
      <c r="U55" s="674" t="s">
        <v>2062</v>
      </c>
      <c r="V55" s="675"/>
      <c r="W55" s="675"/>
      <c r="X55" s="675"/>
      <c r="Y55" s="675"/>
      <c r="Z55" s="675"/>
      <c r="AA55" s="675"/>
      <c r="AB55" s="676"/>
    </row>
    <row r="56" spans="1:28" s="625" customFormat="1">
      <c r="A56" s="643">
        <f t="shared" si="12"/>
        <v>10</v>
      </c>
      <c r="B56" s="643">
        <f t="shared" si="13"/>
        <v>150</v>
      </c>
      <c r="C56" s="643">
        <f t="shared" si="2"/>
        <v>0.13857113879118085</v>
      </c>
      <c r="D56" s="643">
        <f t="shared" si="3"/>
        <v>-1.9302747150996211E-2</v>
      </c>
      <c r="E56" s="643">
        <f t="shared" si="4"/>
        <v>7.2139899999999999</v>
      </c>
      <c r="F56" s="643">
        <f t="shared" si="5"/>
        <v>14.583010000000003</v>
      </c>
      <c r="G56" s="643">
        <f t="shared" si="6"/>
        <v>2.8235800521881518</v>
      </c>
      <c r="H56" s="643">
        <f t="shared" si="7"/>
        <v>3.6486243537600336</v>
      </c>
      <c r="I56" s="643">
        <f t="shared" si="8"/>
        <v>16.875815988437093</v>
      </c>
      <c r="J56" s="643">
        <f>SQRT(G56^2+H56^2)+I56</f>
        <v>21.489389872744752</v>
      </c>
      <c r="K56" s="643">
        <f t="shared" si="9"/>
        <v>23.340909642773592</v>
      </c>
      <c r="L56" s="670">
        <f t="shared" si="10"/>
        <v>14.052235936248945</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0.1388453603221648</v>
      </c>
      <c r="D57" s="643">
        <f t="shared" si="3"/>
        <v>1.7219827829227277E-2</v>
      </c>
      <c r="E57" s="643">
        <f t="shared" si="4"/>
        <v>4.5167414790043976</v>
      </c>
      <c r="F57" s="643">
        <f t="shared" si="5"/>
        <v>17.280258520995602</v>
      </c>
      <c r="G57" s="643">
        <f t="shared" si="6"/>
        <v>4.1760821632789842</v>
      </c>
      <c r="H57" s="643">
        <f t="shared" si="7"/>
        <v>3.6558446982343695</v>
      </c>
      <c r="I57" s="643">
        <f t="shared" si="8"/>
        <v>15.523313877346261</v>
      </c>
      <c r="J57" s="643">
        <f t="shared" si="11"/>
        <v>21.073526728405689</v>
      </c>
      <c r="K57" s="643">
        <f t="shared" si="9"/>
        <v>26.045913864955256</v>
      </c>
      <c r="L57" s="670">
        <f t="shared" si="10"/>
        <v>11.347231714067275</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0.12965750000000001</v>
      </c>
      <c r="D58" s="643">
        <f t="shared" si="3"/>
        <v>5.2568899999999988E-2</v>
      </c>
      <c r="E58" s="643">
        <f t="shared" si="4"/>
        <v>3.52948</v>
      </c>
      <c r="F58" s="643">
        <f t="shared" si="5"/>
        <v>18.267520000000001</v>
      </c>
      <c r="G58" s="643">
        <f t="shared" si="6"/>
        <v>4.5439592713367727</v>
      </c>
      <c r="H58" s="643">
        <f t="shared" si="7"/>
        <v>3.4139252680930516</v>
      </c>
      <c r="I58" s="643">
        <f t="shared" si="8"/>
        <v>15.155436769288475</v>
      </c>
      <c r="J58" s="643">
        <f t="shared" si="11"/>
        <v>20.838961344381964</v>
      </c>
      <c r="K58" s="643">
        <f t="shared" si="9"/>
        <v>26.781668081070833</v>
      </c>
      <c r="L58" s="670">
        <f t="shared" si="10"/>
        <v>10.611477497951702</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0.11163369532198501</v>
      </c>
      <c r="D59" s="643">
        <f t="shared" si="3"/>
        <v>8.4335488509987441E-2</v>
      </c>
      <c r="E59" s="643">
        <f t="shared" si="4"/>
        <v>4.5167414790043932</v>
      </c>
      <c r="F59" s="643">
        <f t="shared" si="5"/>
        <v>17.280258520995609</v>
      </c>
      <c r="G59" s="643">
        <f t="shared" si="6"/>
        <v>3.8286390023435315</v>
      </c>
      <c r="H59" s="643">
        <f t="shared" si="7"/>
        <v>2.9393524727094515</v>
      </c>
      <c r="I59" s="643">
        <f t="shared" si="8"/>
        <v>15.870757038281717</v>
      </c>
      <c r="J59" s="643">
        <f t="shared" si="11"/>
        <v>20.697585144718616</v>
      </c>
      <c r="K59" s="643">
        <f t="shared" si="9"/>
        <v>25.351027543084349</v>
      </c>
      <c r="L59" s="670">
        <f t="shared" si="10"/>
        <v>12.042118035938184</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8.6002238791180852E-2</v>
      </c>
      <c r="D60" s="643">
        <f t="shared" si="3"/>
        <v>0.11035475284900378</v>
      </c>
      <c r="E60" s="643">
        <f t="shared" si="4"/>
        <v>7.2139900000000017</v>
      </c>
      <c r="F60" s="643">
        <f t="shared" si="5"/>
        <v>14.583009999999998</v>
      </c>
      <c r="G60" s="643">
        <f t="shared" si="6"/>
        <v>2.2217908447056094</v>
      </c>
      <c r="H60" s="643">
        <f t="shared" si="7"/>
        <v>2.2644676638203323</v>
      </c>
      <c r="I60" s="643">
        <f t="shared" si="8"/>
        <v>17.477605195919637</v>
      </c>
      <c r="J60" s="643">
        <f t="shared" si="11"/>
        <v>20.650012540209708</v>
      </c>
      <c r="K60" s="643">
        <f t="shared" si="9"/>
        <v>22.137331227808506</v>
      </c>
      <c r="L60" s="670">
        <f t="shared" si="10"/>
        <v>15.255814351214028</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5.450987181217732E-2</v>
      </c>
      <c r="D61" s="643">
        <f t="shared" si="3"/>
        <v>0.12885352315121229</v>
      </c>
      <c r="E61" s="643">
        <f t="shared" si="4"/>
        <v>10.8985</v>
      </c>
      <c r="F61" s="643">
        <f t="shared" si="5"/>
        <v>10.898500000000004</v>
      </c>
      <c r="G61" s="643">
        <f t="shared" si="6"/>
        <v>0.15396846462153402</v>
      </c>
      <c r="H61" s="643">
        <f t="shared" si="7"/>
        <v>1.4352631258516115</v>
      </c>
      <c r="I61" s="643">
        <f t="shared" si="8"/>
        <v>19.545427576003711</v>
      </c>
      <c r="J61" s="643">
        <f t="shared" si="11"/>
        <v>20.988925594196758</v>
      </c>
      <c r="K61" s="643">
        <f t="shared" si="9"/>
        <v>18.001686467640358</v>
      </c>
      <c r="L61" s="670">
        <f t="shared" si="10"/>
        <v>19.391459111382179</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1.9302747150996294E-2</v>
      </c>
      <c r="D62" s="643">
        <f t="shared" si="3"/>
        <v>0.13857113879118085</v>
      </c>
      <c r="E62" s="643">
        <f t="shared" si="4"/>
        <v>14.583009999999994</v>
      </c>
      <c r="F62" s="643">
        <f t="shared" si="5"/>
        <v>7.2139900000000061</v>
      </c>
      <c r="G62" s="643">
        <f t="shared" si="6"/>
        <v>-1.8207568010741682</v>
      </c>
      <c r="H62" s="643">
        <f t="shared" si="7"/>
        <v>0.50824777774056573</v>
      </c>
      <c r="I62" s="643">
        <f t="shared" si="8"/>
        <v>21.520152841699414</v>
      </c>
      <c r="J62" s="643">
        <f t="shared" si="11"/>
        <v>23.410515540293538</v>
      </c>
      <c r="K62" s="643">
        <f t="shared" si="9"/>
        <v>14.05223593624895</v>
      </c>
      <c r="L62" s="670">
        <f t="shared" si="10"/>
        <v>23.340909642773582</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-1.721982782922734E-2</v>
      </c>
      <c r="D63" s="643">
        <f t="shared" si="3"/>
        <v>0.13884536032216477</v>
      </c>
      <c r="E63" s="643">
        <f t="shared" si="4"/>
        <v>17.280258520995609</v>
      </c>
      <c r="F63" s="643">
        <f t="shared" si="5"/>
        <v>4.5167414790043949</v>
      </c>
      <c r="G63" s="643">
        <f t="shared" si="6"/>
        <v>-3.1732589121650081</v>
      </c>
      <c r="H63" s="643">
        <f t="shared" si="7"/>
        <v>-0.45340381650433748</v>
      </c>
      <c r="I63" s="643">
        <f t="shared" si="8"/>
        <v>22.872654952790253</v>
      </c>
      <c r="J63" s="643">
        <f t="shared" si="11"/>
        <v>26.078141989802781</v>
      </c>
      <c r="K63" s="643">
        <f t="shared" si="9"/>
        <v>11.347231714067274</v>
      </c>
      <c r="L63" s="670">
        <f t="shared" si="10"/>
        <v>26.04591386495526</v>
      </c>
      <c r="M63" s="671"/>
      <c r="N63" s="638">
        <f>O70*180/PI()-INT(O70*180/PI()/360)*360</f>
        <v>89.801638018347148</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-5.2568899999999981E-2</v>
      </c>
      <c r="D64" s="643">
        <f t="shared" si="3"/>
        <v>0.12965750000000001</v>
      </c>
      <c r="E64" s="643">
        <f t="shared" si="4"/>
        <v>18.267520000000001</v>
      </c>
      <c r="F64" s="643">
        <f t="shared" si="5"/>
        <v>3.52948</v>
      </c>
      <c r="G64" s="643">
        <f t="shared" si="6"/>
        <v>-3.5411360202227922</v>
      </c>
      <c r="H64" s="643">
        <f t="shared" si="7"/>
        <v>-1.3841566899397006</v>
      </c>
      <c r="I64" s="643">
        <f t="shared" si="8"/>
        <v>23.240532060848036</v>
      </c>
      <c r="J64" s="643">
        <f t="shared" si="11"/>
        <v>27.042575466179457</v>
      </c>
      <c r="K64" s="643">
        <f t="shared" si="9"/>
        <v>10.611477497951702</v>
      </c>
      <c r="L64" s="670">
        <f t="shared" si="10"/>
        <v>26.781668081070833</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-8.4335488509987538E-2</v>
      </c>
      <c r="D65" s="643">
        <f t="shared" si="3"/>
        <v>0.11163369532198494</v>
      </c>
      <c r="E65" s="643">
        <f t="shared" si="4"/>
        <v>17.280258520995602</v>
      </c>
      <c r="F65" s="643">
        <f t="shared" si="5"/>
        <v>4.5167414790043985</v>
      </c>
      <c r="G65" s="643">
        <f t="shared" si="6"/>
        <v>-2.8258157512295483</v>
      </c>
      <c r="H65" s="643">
        <f t="shared" si="7"/>
        <v>-2.2205815723827595</v>
      </c>
      <c r="I65" s="643">
        <f t="shared" si="8"/>
        <v>22.525211791854794</v>
      </c>
      <c r="J65" s="643">
        <f t="shared" si="11"/>
        <v>26.119125700047768</v>
      </c>
      <c r="K65" s="643">
        <f t="shared" si="9"/>
        <v>12.042118035938191</v>
      </c>
      <c r="L65" s="670">
        <f t="shared" si="10"/>
        <v>25.351027543084342</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-3.5411360202227922</v>
      </c>
      <c r="S65" s="643">
        <f t="shared" ref="S65:S70" si="20">$E$18*($E$19*Q65-$E$20*P65+$E$28)*(-$E$19*P65-$E$20*Q65)-($E$23-$E$22)*P65*Q65</f>
        <v>0.69488632187091159</v>
      </c>
      <c r="T65" s="643">
        <f t="shared" ref="T65:T70" si="21">$E$18*(-$E$19*P65-$E$20*Q65)^2+$E$18*($E$19*Q65-$E$20*P65+$E$28)*(-$E$19*Q65+$E$20*P65)-($E$23-$E$22)*(Q65^2-P65^2)</f>
        <v>16.17019058311913</v>
      </c>
      <c r="U65" s="643">
        <f t="shared" ref="U65:U70" si="22">$E$18*($E$19*Q65-$E$20*P65+$E$28)*($E$21+$E$26)</f>
        <v>1.3841566899397011</v>
      </c>
      <c r="V65" s="643">
        <f t="shared" ref="V65:V70" si="23">$E$18*($E$21+$E$26)*(-$E$19*P65-$E$20*Q65)</f>
        <v>3.4139252680930516</v>
      </c>
      <c r="W65" s="643">
        <f t="shared" ref="W65:W70" si="24">$E$18*($E$21+$E$26)*(-$E$19*Q65+$E$20*P65)</f>
        <v>-1.3841566899397011</v>
      </c>
      <c r="X65" s="643">
        <f t="shared" ref="X65:X70" si="25">S65+2*($E$23-$E$22)*P65*Q65+2*$E$18*($E$19*P65+$E$20*Q65+$E$27)*($E$19*Q65-$E$20*P65)</f>
        <v>-0.69488632187091159</v>
      </c>
      <c r="Y65" s="643">
        <f t="shared" ref="Y65:Y70" si="26">T65+2*($E$23-$E$22)*(Q65^2-P65^2)+2*$E$18*($E$19*Q65-$E$20*P65)^2+2*$E$18*($E$19*P65+$E$20*Q65+$E$27)*(-$E$19*P65-$E$20*Q65)</f>
        <v>-16.17019058311913</v>
      </c>
      <c r="Z65" s="643">
        <f t="shared" ref="Z65:Z70" si="27">IF(OR(R65,U65),(R65^2+U65^2)^(-0.5)*(R65*S65+U65*V65)+X65,0)</f>
        <v>-9.9227547625392987E-2</v>
      </c>
      <c r="AA65" s="643">
        <f t="shared" ref="AA65:AA70" si="28">IF(OR(R65,U65),(-1)*(R65^2+U65^2)^(-1.5)*(R65*S65+U65*V65)^2+(R65^2+U65^2)^(-0.5)*(S65^2+R65*T65+V65^2+U65*W65)+Y65,0)</f>
        <v>-28.635537675812902</v>
      </c>
      <c r="AB65" s="643">
        <f t="shared" ref="AB65:AB70" si="29">IF(AA65=0,O65,O65-Z65/AA65)</f>
        <v>1.5673311378835248</v>
      </c>
    </row>
    <row r="66" spans="1:28" s="625" customFormat="1">
      <c r="A66" s="643">
        <f t="shared" si="12"/>
        <v>20</v>
      </c>
      <c r="B66" s="643">
        <f t="shared" si="13"/>
        <v>300</v>
      </c>
      <c r="C66" s="643">
        <f t="shared" si="2"/>
        <v>-0.11035475284900378</v>
      </c>
      <c r="D66" s="643">
        <f t="shared" si="3"/>
        <v>8.6002238791180852E-2</v>
      </c>
      <c r="E66" s="643">
        <f t="shared" si="4"/>
        <v>14.583009999999998</v>
      </c>
      <c r="F66" s="643">
        <f t="shared" si="5"/>
        <v>7.2139900000000017</v>
      </c>
      <c r="G66" s="643">
        <f t="shared" si="6"/>
        <v>-1.2189675935916302</v>
      </c>
      <c r="H66" s="643">
        <f t="shared" si="7"/>
        <v>-2.9056774903524878</v>
      </c>
      <c r="I66" s="643">
        <f t="shared" si="8"/>
        <v>20.918363634216874</v>
      </c>
      <c r="J66" s="643">
        <f t="shared" si="11"/>
        <v>24.06937040541996</v>
      </c>
      <c r="K66" s="643">
        <f t="shared" si="9"/>
        <v>15.255814351214028</v>
      </c>
      <c r="L66" s="670">
        <f t="shared" si="10"/>
        <v>22.137331227808506</v>
      </c>
      <c r="M66" s="671"/>
      <c r="N66" s="643">
        <f>N65+1</f>
        <v>2</v>
      </c>
      <c r="O66" s="643">
        <f>AB65</f>
        <v>1.5673311378835248</v>
      </c>
      <c r="P66" s="643">
        <f t="shared" si="17"/>
        <v>0.99999399623891183</v>
      </c>
      <c r="Q66" s="643">
        <f t="shared" si="18"/>
        <v>3.4651819766468774E-3</v>
      </c>
      <c r="R66" s="643">
        <f t="shared" si="19"/>
        <v>-3.5434468316550731</v>
      </c>
      <c r="S66" s="643">
        <f t="shared" si="20"/>
        <v>0.63883731763425933</v>
      </c>
      <c r="T66" s="643">
        <f t="shared" si="21"/>
        <v>16.179433828848254</v>
      </c>
      <c r="U66" s="643">
        <f t="shared" si="22"/>
        <v>1.3723185074850108</v>
      </c>
      <c r="V66" s="643">
        <f t="shared" si="23"/>
        <v>3.4187011265162037</v>
      </c>
      <c r="W66" s="643">
        <f t="shared" si="24"/>
        <v>-1.3723185074850108</v>
      </c>
      <c r="X66" s="643">
        <f t="shared" si="25"/>
        <v>-0.63883731763425933</v>
      </c>
      <c r="Y66" s="643">
        <f t="shared" si="26"/>
        <v>-16.179433828848254</v>
      </c>
      <c r="Z66" s="643">
        <f t="shared" si="27"/>
        <v>8.9480410002340527E-5</v>
      </c>
      <c r="AA66" s="643">
        <f t="shared" si="28"/>
        <v>-28.686805968607256</v>
      </c>
      <c r="AB66" s="643">
        <f t="shared" si="29"/>
        <v>1.5673342571018198</v>
      </c>
    </row>
    <row r="67" spans="1:28" s="625" customFormat="1">
      <c r="A67" s="643">
        <f t="shared" si="12"/>
        <v>21</v>
      </c>
      <c r="B67" s="643">
        <f t="shared" si="13"/>
        <v>315</v>
      </c>
      <c r="C67" s="643">
        <f t="shared" si="2"/>
        <v>-0.12885352315121229</v>
      </c>
      <c r="D67" s="643">
        <f t="shared" si="3"/>
        <v>5.4509871812177327E-2</v>
      </c>
      <c r="E67" s="643">
        <f t="shared" si="4"/>
        <v>10.898500000000004</v>
      </c>
      <c r="F67" s="643">
        <f t="shared" si="5"/>
        <v>10.898499999999999</v>
      </c>
      <c r="G67" s="643">
        <f t="shared" si="6"/>
        <v>0.84885478649244472</v>
      </c>
      <c r="H67" s="643">
        <f t="shared" si="7"/>
        <v>-3.392756289213787</v>
      </c>
      <c r="I67" s="643">
        <f t="shared" si="8"/>
        <v>18.850541254132803</v>
      </c>
      <c r="J67" s="643">
        <f t="shared" si="11"/>
        <v>22.34787590877351</v>
      </c>
      <c r="K67" s="643">
        <f t="shared" si="9"/>
        <v>19.391459111382176</v>
      </c>
      <c r="L67" s="670">
        <f t="shared" si="10"/>
        <v>18.001686467640358</v>
      </c>
      <c r="M67" s="671"/>
      <c r="N67" s="643">
        <f>N66+1</f>
        <v>3</v>
      </c>
      <c r="O67" s="643">
        <f>AB66</f>
        <v>1.5673342571018198</v>
      </c>
      <c r="P67" s="643">
        <f t="shared" si="17"/>
        <v>0.99999400704270602</v>
      </c>
      <c r="Q67" s="643">
        <f t="shared" si="18"/>
        <v>3.4620627770620776E-3</v>
      </c>
      <c r="R67" s="643">
        <f t="shared" si="19"/>
        <v>-3.543444838903314</v>
      </c>
      <c r="S67" s="643">
        <f t="shared" si="20"/>
        <v>0.63888778480782937</v>
      </c>
      <c r="T67" s="643">
        <f t="shared" si="21"/>
        <v>16.179425857841217</v>
      </c>
      <c r="U67" s="643">
        <f t="shared" si="22"/>
        <v>1.372329171153434</v>
      </c>
      <c r="V67" s="643">
        <f t="shared" si="23"/>
        <v>3.4186968459385767</v>
      </c>
      <c r="W67" s="643">
        <f t="shared" si="24"/>
        <v>-1.3723291711534338</v>
      </c>
      <c r="X67" s="643">
        <f t="shared" si="25"/>
        <v>-0.63888778480782926</v>
      </c>
      <c r="Y67" s="643">
        <f t="shared" si="26"/>
        <v>-16.179425857841217</v>
      </c>
      <c r="Z67" s="643">
        <f t="shared" si="27"/>
        <v>7.0389583051166937E-11</v>
      </c>
      <c r="AA67" s="643">
        <f t="shared" si="28"/>
        <v>-28.686760835897097</v>
      </c>
      <c r="AB67" s="643">
        <f t="shared" si="29"/>
        <v>1.5673342571042737</v>
      </c>
    </row>
    <row r="68" spans="1:28" s="625" customFormat="1">
      <c r="A68" s="643">
        <f t="shared" si="12"/>
        <v>22</v>
      </c>
      <c r="B68" s="643">
        <f t="shared" si="13"/>
        <v>330</v>
      </c>
      <c r="C68" s="643">
        <f t="shared" si="2"/>
        <v>-0.13857113879118085</v>
      </c>
      <c r="D68" s="643">
        <f t="shared" si="3"/>
        <v>1.9302747150996294E-2</v>
      </c>
      <c r="E68" s="643">
        <f t="shared" si="4"/>
        <v>7.2139900000000061</v>
      </c>
      <c r="F68" s="643">
        <f t="shared" si="5"/>
        <v>14.583009999999994</v>
      </c>
      <c r="G68" s="643">
        <f t="shared" si="6"/>
        <v>2.8235800521881487</v>
      </c>
      <c r="H68" s="643">
        <f t="shared" si="7"/>
        <v>-3.6486243537600336</v>
      </c>
      <c r="I68" s="643">
        <f t="shared" si="8"/>
        <v>16.875815988437097</v>
      </c>
      <c r="J68" s="643">
        <f t="shared" si="11"/>
        <v>21.489389872744756</v>
      </c>
      <c r="K68" s="643">
        <f t="shared" si="9"/>
        <v>23.340909642773582</v>
      </c>
      <c r="L68" s="670">
        <f t="shared" si="10"/>
        <v>14.05223593624895</v>
      </c>
      <c r="M68" s="671"/>
      <c r="N68" s="643">
        <f>N67+1</f>
        <v>4</v>
      </c>
      <c r="O68" s="643">
        <f>AB67</f>
        <v>1.5673342571042737</v>
      </c>
      <c r="P68" s="643">
        <f t="shared" si="17"/>
        <v>0.99999400704271457</v>
      </c>
      <c r="Q68" s="643">
        <f t="shared" si="18"/>
        <v>3.4620627746082774E-3</v>
      </c>
      <c r="R68" s="643">
        <f t="shared" si="19"/>
        <v>-3.5434448389017481</v>
      </c>
      <c r="S68" s="643">
        <f t="shared" si="20"/>
        <v>0.63888778484753062</v>
      </c>
      <c r="T68" s="643">
        <f t="shared" si="21"/>
        <v>16.17942585783495</v>
      </c>
      <c r="U68" s="643">
        <f t="shared" si="22"/>
        <v>1.3723291711618226</v>
      </c>
      <c r="V68" s="643">
        <f t="shared" si="23"/>
        <v>3.4186968459352092</v>
      </c>
      <c r="W68" s="643">
        <f t="shared" si="24"/>
        <v>-1.3723291711618226</v>
      </c>
      <c r="X68" s="643">
        <f t="shared" si="25"/>
        <v>-0.63888778484753062</v>
      </c>
      <c r="Y68" s="643">
        <f t="shared" si="26"/>
        <v>-16.179425857834946</v>
      </c>
      <c r="Z68" s="643">
        <f t="shared" si="27"/>
        <v>-3.219646771412954E-15</v>
      </c>
      <c r="AA68" s="643">
        <f t="shared" si="28"/>
        <v>-28.686760835861598</v>
      </c>
      <c r="AB68" s="643">
        <f t="shared" si="29"/>
        <v>1.5673342571042734</v>
      </c>
    </row>
    <row r="69" spans="1:28" s="625" customFormat="1">
      <c r="A69" s="643">
        <f t="shared" si="12"/>
        <v>23</v>
      </c>
      <c r="B69" s="643">
        <f t="shared" si="13"/>
        <v>345</v>
      </c>
      <c r="C69" s="643">
        <f t="shared" si="2"/>
        <v>-0.13884536032216477</v>
      </c>
      <c r="D69" s="643">
        <f t="shared" si="3"/>
        <v>-1.7219827829227333E-2</v>
      </c>
      <c r="E69" s="643">
        <f t="shared" si="4"/>
        <v>4.5167414790043949</v>
      </c>
      <c r="F69" s="643">
        <f t="shared" si="5"/>
        <v>17.280258520995609</v>
      </c>
      <c r="G69" s="643">
        <f t="shared" si="6"/>
        <v>4.176082163278986</v>
      </c>
      <c r="H69" s="643">
        <f t="shared" si="7"/>
        <v>-3.6558446982343686</v>
      </c>
      <c r="I69" s="643">
        <f t="shared" si="8"/>
        <v>15.52331387734626</v>
      </c>
      <c r="J69" s="643">
        <f t="shared" si="11"/>
        <v>21.073526728405689</v>
      </c>
      <c r="K69" s="643">
        <f t="shared" si="9"/>
        <v>26.04591386495526</v>
      </c>
      <c r="L69" s="670">
        <f t="shared" si="10"/>
        <v>11.347231714067274</v>
      </c>
      <c r="M69" s="671"/>
      <c r="N69" s="643">
        <f>N68+1</f>
        <v>5</v>
      </c>
      <c r="O69" s="643">
        <f>AB68</f>
        <v>1.5673342571042734</v>
      </c>
      <c r="P69" s="643">
        <f t="shared" si="17"/>
        <v>0.99999400704271457</v>
      </c>
      <c r="Q69" s="643">
        <f t="shared" si="18"/>
        <v>3.4620627746084994E-3</v>
      </c>
      <c r="R69" s="643">
        <f t="shared" si="19"/>
        <v>-3.5434448389017481</v>
      </c>
      <c r="S69" s="643">
        <f t="shared" si="20"/>
        <v>0.63888778484752695</v>
      </c>
      <c r="T69" s="643">
        <f t="shared" si="21"/>
        <v>16.17942585783495</v>
      </c>
      <c r="U69" s="643">
        <f t="shared" si="22"/>
        <v>1.3723291711618217</v>
      </c>
      <c r="V69" s="643">
        <f t="shared" si="23"/>
        <v>3.4186968459352101</v>
      </c>
      <c r="W69" s="643">
        <f t="shared" si="24"/>
        <v>-1.3723291711618217</v>
      </c>
      <c r="X69" s="643">
        <f t="shared" si="25"/>
        <v>-0.63888778484752706</v>
      </c>
      <c r="Y69" s="643">
        <f t="shared" si="26"/>
        <v>-16.179425857834946</v>
      </c>
      <c r="Z69" s="643">
        <f t="shared" si="27"/>
        <v>3.219646771412954E-15</v>
      </c>
      <c r="AA69" s="643">
        <f t="shared" si="28"/>
        <v>-28.686760835861598</v>
      </c>
      <c r="AB69" s="643">
        <f t="shared" si="29"/>
        <v>1.5673342571042737</v>
      </c>
    </row>
    <row r="70" spans="1:28" s="625" customFormat="1">
      <c r="A70" s="643">
        <f t="shared" si="12"/>
        <v>24</v>
      </c>
      <c r="B70" s="643">
        <f t="shared" si="13"/>
        <v>360</v>
      </c>
      <c r="C70" s="643">
        <f t="shared" si="2"/>
        <v>-0.12965750000000001</v>
      </c>
      <c r="D70" s="643">
        <f t="shared" si="3"/>
        <v>-5.2568899999999967E-2</v>
      </c>
      <c r="E70" s="643">
        <f t="shared" si="4"/>
        <v>3.52948</v>
      </c>
      <c r="F70" s="643">
        <f t="shared" si="5"/>
        <v>18.267520000000001</v>
      </c>
      <c r="G70" s="643">
        <f t="shared" si="6"/>
        <v>4.5439592713367727</v>
      </c>
      <c r="H70" s="643">
        <f t="shared" si="7"/>
        <v>-3.4139252680930516</v>
      </c>
      <c r="I70" s="643">
        <f t="shared" si="8"/>
        <v>15.155436769288475</v>
      </c>
      <c r="J70" s="643">
        <f t="shared" si="11"/>
        <v>20.838961344381964</v>
      </c>
      <c r="K70" s="643">
        <f t="shared" si="9"/>
        <v>26.781668081070833</v>
      </c>
      <c r="L70" s="670">
        <f t="shared" si="10"/>
        <v>10.611477497951702</v>
      </c>
      <c r="M70" s="671"/>
      <c r="N70" s="643">
        <f>N69+1</f>
        <v>6</v>
      </c>
      <c r="O70" s="643">
        <f>AB69</f>
        <v>1.5673342571042737</v>
      </c>
      <c r="P70" s="643">
        <f t="shared" si="17"/>
        <v>0.99999400704271457</v>
      </c>
      <c r="Q70" s="643">
        <f t="shared" si="18"/>
        <v>3.4620627746082774E-3</v>
      </c>
      <c r="R70" s="643">
        <f t="shared" si="19"/>
        <v>-3.5434448389017481</v>
      </c>
      <c r="S70" s="643">
        <f t="shared" si="20"/>
        <v>0.63888778484753062</v>
      </c>
      <c r="T70" s="643">
        <f t="shared" si="21"/>
        <v>16.17942585783495</v>
      </c>
      <c r="U70" s="643">
        <f t="shared" si="22"/>
        <v>1.3723291711618226</v>
      </c>
      <c r="V70" s="643">
        <f t="shared" si="23"/>
        <v>3.4186968459352092</v>
      </c>
      <c r="W70" s="643">
        <f t="shared" si="24"/>
        <v>-1.3723291711618226</v>
      </c>
      <c r="X70" s="643">
        <f t="shared" si="25"/>
        <v>-0.63888778484753062</v>
      </c>
      <c r="Y70" s="643">
        <f t="shared" si="26"/>
        <v>-16.179425857834946</v>
      </c>
      <c r="Z70" s="643">
        <f t="shared" si="27"/>
        <v>-3.219646771412954E-15</v>
      </c>
      <c r="AA70" s="643">
        <f t="shared" si="28"/>
        <v>-28.686760835861598</v>
      </c>
      <c r="AB70" s="643">
        <f t="shared" si="29"/>
        <v>1.5673342571042734</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2.4462833356011703E-2</v>
      </c>
      <c r="D73" s="643">
        <f t="shared" ref="D73:D85" si="32">$E$19*SIN(B73*PI()/180)+$E$20*COS(B73*PI()/180)</f>
        <v>-0.13775386142557311</v>
      </c>
      <c r="E73" s="643">
        <f t="shared" ref="E73:E85" si="33">$E$22*COS(B73*PI()/180)^2+$E$23*SIN(B73*PI()/180)^2</f>
        <v>17.630434748277477</v>
      </c>
      <c r="F73" s="643">
        <f t="shared" ref="F73:F85" si="34">$E$22*SIN(B73*PI()/180)^2+$E$23*COS(B73*PI()/180)^2</f>
        <v>4.1665652517225222</v>
      </c>
      <c r="G73" s="643">
        <f t="shared" ref="G73:G85" si="35">($E$18*(C73+$E$28)^2-$E$18*($E$21+$E$26)^2+$E$24-E73)/2</f>
        <v>-3.3329572784874513</v>
      </c>
      <c r="H73" s="643">
        <f t="shared" ref="H73:H85" si="36">$E$18*(C73+$E$28)*($E$21+$E$26)</f>
        <v>0.64411457048946563</v>
      </c>
      <c r="I73" s="643">
        <f t="shared" ref="I73:I85" si="37">$E$18*((C73+$E$28)^2+($E$21+$E$26)^2)/2+$E$18*(D73+$E$27)^2+($E$24+E73)/2</f>
        <v>23.032353319112694</v>
      </c>
      <c r="J73" s="643">
        <f>SQRT(G73^2+H73^2)+I73</f>
        <v>26.426979631409722</v>
      </c>
      <c r="K73" s="670">
        <f>IF(G73=0,0,IF((PI()/2-ATAN2(H73,G73))/2*180/PI()&gt;90,(PI()/2-ATAN2(H73,G73))/2*180/PI()-180,(PI()/2-ATAN2(H73,G73))/2*180/PI()))</f>
        <v>84.531038143779426</v>
      </c>
      <c r="L73" s="670">
        <f>IF(G73=0,0,SQRT(G73^2+H73^2)*SIN(2*K73*PI()/180+ATAN2(H73,G73))+I73)</f>
        <v>26.426979631409722</v>
      </c>
    </row>
    <row r="74" spans="1:28" s="625" customFormat="1">
      <c r="A74" s="643">
        <v>1</v>
      </c>
      <c r="B74" s="643">
        <f t="shared" si="30"/>
        <v>80</v>
      </c>
      <c r="C74" s="643">
        <f t="shared" si="31"/>
        <v>2.9255471691473429E-2</v>
      </c>
      <c r="D74" s="643">
        <f t="shared" si="32"/>
        <v>-0.13681620492313545</v>
      </c>
      <c r="E74" s="643">
        <f t="shared" si="33"/>
        <v>17.823113716423773</v>
      </c>
      <c r="F74" s="643">
        <f t="shared" si="34"/>
        <v>3.9738862835762259</v>
      </c>
      <c r="G74" s="643">
        <f t="shared" si="35"/>
        <v>-3.4161731260583847</v>
      </c>
      <c r="H74" s="643">
        <f t="shared" si="36"/>
        <v>0.77030633814088745</v>
      </c>
      <c r="I74" s="643">
        <f t="shared" si="37"/>
        <v>23.115569166683628</v>
      </c>
      <c r="J74" s="643">
        <f>SQRT(G74^2+H74^2)+I74</f>
        <v>26.617513010006011</v>
      </c>
      <c r="K74" s="670">
        <f t="shared" ref="K74:K85" si="38">IF(G74=0,0,IF((PI()/2-ATAN2(H74,G74))/2*180/PI()&gt;90,(PI()/2-ATAN2(H74,G74))/2*180/PI()-180,(PI()/2-ATAN2(H74,G74))/2*180/PI()))</f>
        <v>83.646500785744934</v>
      </c>
      <c r="L74" s="670">
        <f t="shared" ref="L74:L85" si="39">IF(G74=0,0,SQRT(G74^2+H74^2)*SIN(2*K74*PI()/180+ATAN2(H74,G74))+I74)</f>
        <v>26.617513010006011</v>
      </c>
    </row>
    <row r="75" spans="1:28" s="625" customFormat="1">
      <c r="A75" s="643">
        <f>A74+1</f>
        <v>2</v>
      </c>
      <c r="B75" s="643">
        <f t="shared" si="30"/>
        <v>82</v>
      </c>
      <c r="C75" s="643">
        <f t="shared" si="31"/>
        <v>3.4012466741139016E-2</v>
      </c>
      <c r="D75" s="643">
        <f t="shared" si="32"/>
        <v>-0.13571185894991974</v>
      </c>
      <c r="E75" s="643">
        <f t="shared" si="33"/>
        <v>17.982056662603391</v>
      </c>
      <c r="F75" s="643">
        <f t="shared" si="34"/>
        <v>3.8149433373966102</v>
      </c>
      <c r="G75" s="643">
        <f t="shared" si="35"/>
        <v>-3.4803028945136916</v>
      </c>
      <c r="H75" s="643">
        <f t="shared" si="36"/>
        <v>0.89555960617587893</v>
      </c>
      <c r="I75" s="643">
        <f t="shared" si="37"/>
        <v>23.179698935138937</v>
      </c>
      <c r="J75" s="643">
        <f t="shared" ref="J75:J84" si="40">SQRT(G75^2+H75^2)+I75</f>
        <v>26.773378838215208</v>
      </c>
      <c r="K75" s="670">
        <f t="shared" si="38"/>
        <v>82.784791348533957</v>
      </c>
      <c r="L75" s="670">
        <f t="shared" si="39"/>
        <v>26.773378838215208</v>
      </c>
    </row>
    <row r="76" spans="1:28" s="625" customFormat="1">
      <c r="A76" s="643">
        <f t="shared" ref="A76:A84" si="41">A75+1</f>
        <v>3</v>
      </c>
      <c r="B76" s="643">
        <f t="shared" si="30"/>
        <v>84</v>
      </c>
      <c r="C76" s="643">
        <f t="shared" si="31"/>
        <v>3.8728022839299443E-2</v>
      </c>
      <c r="D76" s="643">
        <f t="shared" si="32"/>
        <v>-0.13444216898138284</v>
      </c>
      <c r="E76" s="643">
        <f t="shared" si="33"/>
        <v>18.106489232759429</v>
      </c>
      <c r="F76" s="643">
        <f t="shared" si="34"/>
        <v>3.6905107672405713</v>
      </c>
      <c r="G76" s="643">
        <f t="shared" si="35"/>
        <v>-3.5250341500677562</v>
      </c>
      <c r="H76" s="643">
        <f t="shared" si="36"/>
        <v>1.0197217727811285</v>
      </c>
      <c r="I76" s="643">
        <f t="shared" si="37"/>
        <v>23.224430190693003</v>
      </c>
      <c r="J76" s="643">
        <f t="shared" si="40"/>
        <v>26.893993959457323</v>
      </c>
      <c r="K76" s="670">
        <f t="shared" si="38"/>
        <v>81.932951314058045</v>
      </c>
      <c r="L76" s="670">
        <f t="shared" si="39"/>
        <v>26.893993959457323</v>
      </c>
    </row>
    <row r="77" spans="1:28" s="625" customFormat="1">
      <c r="A77" s="643">
        <f t="shared" si="41"/>
        <v>4</v>
      </c>
      <c r="B77" s="643">
        <f t="shared" si="30"/>
        <v>86</v>
      </c>
      <c r="C77" s="643">
        <f t="shared" si="31"/>
        <v>4.3396394807224729E-2</v>
      </c>
      <c r="D77" s="643">
        <f t="shared" si="32"/>
        <v>-0.13300868193917073</v>
      </c>
      <c r="E77" s="643">
        <f t="shared" si="33"/>
        <v>18.195805203918006</v>
      </c>
      <c r="F77" s="643">
        <f t="shared" si="34"/>
        <v>3.6011947960819937</v>
      </c>
      <c r="G77" s="643">
        <f t="shared" si="35"/>
        <v>-3.5501489665398909</v>
      </c>
      <c r="H77" s="643">
        <f t="shared" si="36"/>
        <v>1.1426415654823407</v>
      </c>
      <c r="I77" s="643">
        <f t="shared" si="37"/>
        <v>23.249545007165136</v>
      </c>
      <c r="J77" s="643">
        <f t="shared" si="40"/>
        <v>26.979047310662505</v>
      </c>
      <c r="K77" s="670">
        <f t="shared" si="38"/>
        <v>81.079423391440898</v>
      </c>
      <c r="L77" s="670">
        <f t="shared" si="39"/>
        <v>26.979047310662505</v>
      </c>
    </row>
    <row r="78" spans="1:28" s="625" customFormat="1">
      <c r="A78" s="643">
        <f t="shared" si="41"/>
        <v>5</v>
      </c>
      <c r="B78" s="643">
        <f t="shared" si="30"/>
        <v>88</v>
      </c>
      <c r="C78" s="643">
        <f t="shared" si="31"/>
        <v>4.8011894952779612E-2</v>
      </c>
      <c r="D78" s="643">
        <f t="shared" si="32"/>
        <v>-0.13141314430643253</v>
      </c>
      <c r="E78" s="643">
        <f t="shared" si="33"/>
        <v>18.249569437645651</v>
      </c>
      <c r="F78" s="643">
        <f t="shared" si="34"/>
        <v>3.5474305623543505</v>
      </c>
      <c r="G78" s="643">
        <f t="shared" si="35"/>
        <v>-3.5555249870687771</v>
      </c>
      <c r="H78" s="643">
        <f t="shared" si="36"/>
        <v>1.2641692254464536</v>
      </c>
      <c r="I78" s="643">
        <f t="shared" si="37"/>
        <v>23.254921027694024</v>
      </c>
      <c r="J78" s="643">
        <f t="shared" si="40"/>
        <v>27.02849781427679</v>
      </c>
      <c r="K78" s="670">
        <f t="shared" si="38"/>
        <v>80.21356180926864</v>
      </c>
      <c r="L78" s="670">
        <f t="shared" si="39"/>
        <v>27.02849781427679</v>
      </c>
    </row>
    <row r="79" spans="1:28" s="625" customFormat="1" ht="14.25">
      <c r="A79" s="695">
        <f t="shared" si="41"/>
        <v>6</v>
      </c>
      <c r="B79" s="695">
        <f>INDEX($B46:$B70,MATCH($J$44,$J$46:$J$70,0))</f>
        <v>90</v>
      </c>
      <c r="C79" s="695">
        <f t="shared" si="31"/>
        <v>5.2568899999999995E-2</v>
      </c>
      <c r="D79" s="695">
        <f t="shared" si="32"/>
        <v>-0.12965750000000001</v>
      </c>
      <c r="E79" s="695">
        <f t="shared" si="33"/>
        <v>18.267520000000001</v>
      </c>
      <c r="F79" s="695">
        <f t="shared" si="34"/>
        <v>3.52948</v>
      </c>
      <c r="G79" s="695">
        <f t="shared" si="35"/>
        <v>-3.5411360202227922</v>
      </c>
      <c r="H79" s="695">
        <f t="shared" si="36"/>
        <v>1.3841566899397011</v>
      </c>
      <c r="I79" s="695">
        <f t="shared" si="37"/>
        <v>23.240532060848036</v>
      </c>
      <c r="J79" s="695">
        <f t="shared" si="40"/>
        <v>27.042575466179457</v>
      </c>
      <c r="K79" s="670">
        <f t="shared" si="38"/>
        <v>79.325250755651751</v>
      </c>
      <c r="L79" s="670">
        <f t="shared" si="39"/>
        <v>27.042575466179457</v>
      </c>
    </row>
    <row r="80" spans="1:28" s="625" customFormat="1">
      <c r="A80" s="643">
        <f t="shared" si="41"/>
        <v>7</v>
      </c>
      <c r="B80" s="643">
        <f t="shared" ref="B80:B85" si="42">B79+2</f>
        <v>92</v>
      </c>
      <c r="C80" s="643">
        <f t="shared" si="31"/>
        <v>5.7061857940188636E-2</v>
      </c>
      <c r="D80" s="643">
        <f t="shared" si="32"/>
        <v>-0.12774388800202433</v>
      </c>
      <c r="E80" s="643">
        <f t="shared" si="33"/>
        <v>18.249569437645651</v>
      </c>
      <c r="F80" s="643">
        <f t="shared" si="34"/>
        <v>3.5474305623543501</v>
      </c>
      <c r="G80" s="643">
        <f t="shared" si="35"/>
        <v>-3.507052167602037</v>
      </c>
      <c r="H80" s="643">
        <f t="shared" si="36"/>
        <v>1.5024577727192496</v>
      </c>
      <c r="I80" s="643">
        <f t="shared" si="37"/>
        <v>23.206448208227286</v>
      </c>
      <c r="J80" s="643">
        <f t="shared" si="40"/>
        <v>27.021784925358112</v>
      </c>
      <c r="K80" s="670">
        <f t="shared" si="38"/>
        <v>78.404601228185911</v>
      </c>
      <c r="L80" s="670">
        <f t="shared" si="39"/>
        <v>27.021784925358112</v>
      </c>
    </row>
    <row r="81" spans="1:16" s="625" customFormat="1">
      <c r="A81" s="643">
        <f t="shared" si="41"/>
        <v>8</v>
      </c>
      <c r="B81" s="643">
        <f t="shared" si="42"/>
        <v>94</v>
      </c>
      <c r="C81" s="643">
        <f t="shared" si="31"/>
        <v>6.1485294796182609E-2</v>
      </c>
      <c r="D81" s="643">
        <f t="shared" si="32"/>
        <v>-0.12567463975395562</v>
      </c>
      <c r="E81" s="643">
        <f t="shared" si="33"/>
        <v>18.195805203918006</v>
      </c>
      <c r="F81" s="643">
        <f t="shared" si="34"/>
        <v>3.6011947960819932</v>
      </c>
      <c r="G81" s="643">
        <f t="shared" si="35"/>
        <v>-3.4534394823103813</v>
      </c>
      <c r="H81" s="643">
        <f t="shared" si="36"/>
        <v>1.6189283421386191</v>
      </c>
      <c r="I81" s="643">
        <f t="shared" si="37"/>
        <v>23.152835522935629</v>
      </c>
      <c r="J81" s="643">
        <f t="shared" si="40"/>
        <v>26.96691119535744</v>
      </c>
      <c r="K81" s="670">
        <f t="shared" si="38"/>
        <v>77.441708053042419</v>
      </c>
      <c r="L81" s="670">
        <f t="shared" si="39"/>
        <v>26.96691119535744</v>
      </c>
    </row>
    <row r="82" spans="1:16" s="625" customFormat="1">
      <c r="A82" s="643">
        <f t="shared" si="41"/>
        <v>9</v>
      </c>
      <c r="B82" s="643">
        <f t="shared" si="42"/>
        <v>96</v>
      </c>
      <c r="C82" s="643">
        <f t="shared" si="31"/>
        <v>6.5833821291550992E-2</v>
      </c>
      <c r="D82" s="643">
        <f t="shared" si="32"/>
        <v>-0.12345227631604097</v>
      </c>
      <c r="E82" s="643">
        <f t="shared" si="33"/>
        <v>18.106489232759429</v>
      </c>
      <c r="F82" s="643">
        <f t="shared" si="34"/>
        <v>3.6905107672405713</v>
      </c>
      <c r="G82" s="643">
        <f t="shared" si="35"/>
        <v>-3.3805591599614413</v>
      </c>
      <c r="H82" s="643">
        <f t="shared" si="36"/>
        <v>1.7334264967498854</v>
      </c>
      <c r="I82" s="643">
        <f t="shared" si="37"/>
        <v>23.079955200586689</v>
      </c>
      <c r="J82" s="643">
        <f t="shared" si="40"/>
        <v>26.879027146948562</v>
      </c>
      <c r="K82" s="670">
        <f t="shared" si="38"/>
        <v>76.42645808897602</v>
      </c>
      <c r="L82" s="670">
        <f t="shared" si="39"/>
        <v>26.879027146948562</v>
      </c>
    </row>
    <row r="83" spans="1:16" s="625" customFormat="1">
      <c r="A83" s="643">
        <f t="shared" si="41"/>
        <v>10</v>
      </c>
      <c r="B83" s="643">
        <f t="shared" si="42"/>
        <v>98</v>
      </c>
      <c r="C83" s="643">
        <f t="shared" si="31"/>
        <v>7.0102139416598416E-2</v>
      </c>
      <c r="D83" s="643">
        <f t="shared" si="32"/>
        <v>-0.1210795052958006</v>
      </c>
      <c r="E83" s="643">
        <f t="shared" si="33"/>
        <v>17.982056662603394</v>
      </c>
      <c r="F83" s="643">
        <f t="shared" si="34"/>
        <v>3.8149433373966093</v>
      </c>
      <c r="G83" s="643">
        <f t="shared" si="35"/>
        <v>-3.2887662661597945</v>
      </c>
      <c r="H83" s="643">
        <f t="shared" si="36"/>
        <v>1.8458127381887453</v>
      </c>
      <c r="I83" s="643">
        <f t="shared" si="37"/>
        <v>22.988162306785039</v>
      </c>
      <c r="J83" s="643">
        <f t="shared" si="40"/>
        <v>26.759502680961106</v>
      </c>
      <c r="K83" s="670">
        <f t="shared" si="38"/>
        <v>75.348389048586824</v>
      </c>
      <c r="L83" s="670">
        <f t="shared" si="39"/>
        <v>26.759502680961106</v>
      </c>
    </row>
    <row r="84" spans="1:16" s="625" customFormat="1">
      <c r="A84" s="643">
        <f t="shared" si="41"/>
        <v>11</v>
      </c>
      <c r="B84" s="643">
        <f t="shared" si="42"/>
        <v>100</v>
      </c>
      <c r="C84" s="643">
        <f t="shared" si="31"/>
        <v>7.4285048883173471E-2</v>
      </c>
      <c r="D84" s="643">
        <f t="shared" si="32"/>
        <v>-0.11855921754922527</v>
      </c>
      <c r="E84" s="643">
        <f t="shared" si="33"/>
        <v>17.823113716423773</v>
      </c>
      <c r="F84" s="643">
        <f t="shared" si="34"/>
        <v>3.973886283576225</v>
      </c>
      <c r="G84" s="643">
        <f t="shared" si="35"/>
        <v>-3.178508006657049</v>
      </c>
      <c r="H84" s="643">
        <f t="shared" si="36"/>
        <v>1.9559501411317775</v>
      </c>
      <c r="I84" s="643">
        <f t="shared" si="37"/>
        <v>22.877904047282293</v>
      </c>
      <c r="J84" s="643">
        <f t="shared" si="40"/>
        <v>26.610015259850375</v>
      </c>
      <c r="K84" s="670">
        <f t="shared" si="38"/>
        <v>74.196607033819973</v>
      </c>
      <c r="L84" s="670">
        <f t="shared" si="39"/>
        <v>26.610015259850375</v>
      </c>
    </row>
    <row r="85" spans="1:16" s="625" customFormat="1">
      <c r="A85" s="643">
        <f>A84+1</f>
        <v>12</v>
      </c>
      <c r="B85" s="643">
        <f t="shared" si="42"/>
        <v>102</v>
      </c>
      <c r="C85" s="643">
        <f t="shared" si="31"/>
        <v>7.8377453460418967E-2</v>
      </c>
      <c r="D85" s="643">
        <f t="shared" si="32"/>
        <v>-0.11589448365871373</v>
      </c>
      <c r="E85" s="643">
        <f t="shared" si="33"/>
        <v>17.63043474827748</v>
      </c>
      <c r="F85" s="643">
        <f t="shared" si="34"/>
        <v>4.1665652517225205</v>
      </c>
      <c r="G85" s="643">
        <f t="shared" si="35"/>
        <v>-3.0503215486103876</v>
      </c>
      <c r="H85" s="643">
        <f t="shared" si="36"/>
        <v>2.0637045201188631</v>
      </c>
      <c r="I85" s="643">
        <f t="shared" si="37"/>
        <v>22.749717589235633</v>
      </c>
      <c r="J85" s="643">
        <f>SQRT(G85^2+H85^2)+I85</f>
        <v>26.432561313353709</v>
      </c>
      <c r="K85" s="670">
        <f t="shared" si="38"/>
        <v>72.959780605757061</v>
      </c>
      <c r="L85" s="670">
        <f t="shared" si="39"/>
        <v>26.432561313353709</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89.801638018347148</v>
      </c>
      <c r="C89" s="643">
        <f>$E$19*COS(B89*PI()/180)-$E$20*SIN(B89*PI()/180)</f>
        <v>5.2119702552628988E-2</v>
      </c>
      <c r="D89" s="643">
        <f>$E$19*SIN(B89*PI()/180)+$E$20*COS(B89*PI()/180)</f>
        <v>-0.12983871979993286</v>
      </c>
      <c r="E89" s="643">
        <f>$E$22*COS(B89*PI()/180)^2+$E$23*SIN(B89*PI()/180)^2</f>
        <v>18.267343351640942</v>
      </c>
      <c r="F89" s="670">
        <f>$E$22*SIN(B89*PI()/180)^2+$E$23*COS(B89*PI()/180)^2</f>
        <v>3.5296566483590568</v>
      </c>
      <c r="G89" s="643">
        <f>($E$18*(C89+$E$28)^2-$E$18*($E$21+$E$26)^2+$E$24-E89)/2</f>
        <v>-3.5434448389017472</v>
      </c>
      <c r="H89" s="643">
        <f>$E$18*(C89+$E$28)*($E$21+$E$26)</f>
        <v>1.3723291711618226</v>
      </c>
      <c r="I89" s="643">
        <f>$E$18*((C89+$E$28)^2+($E$21+$E$26)^2)/2+$E$18*(D89+$E$27)^2+($E$24+E89)/2</f>
        <v>23.242840879526991</v>
      </c>
      <c r="J89" s="702">
        <f>SQRT(G89^2+H89^2)+I89</f>
        <v>27.04274728368501</v>
      </c>
      <c r="K89" s="659">
        <f>$E$18*((C89+$E$28)^2+($E$21+$E$26)^2)+F89</f>
        <v>10.60685986059379</v>
      </c>
      <c r="L89" s="659">
        <f>$E$18*(D89^2+($E$21+$E$26)^2)+E89</f>
        <v>26.78628571842874</v>
      </c>
      <c r="N89" s="643">
        <f>IF(G89=0,0,IF((PI()/2-ATAN2(H89,G89))/2*180/PI()&gt;90,(PI()/2-ATAN2(H89,G89))/2*180/PI()-180,(PI()/2-ATAN2(H89,G89))/2*180/PI()))</f>
        <v>79.414637677028495</v>
      </c>
      <c r="O89" s="643">
        <f>IF(G89=0,0,SQRT(G89^2+H89^2)*SIN(2*N89*PI()/180+ATAN2(H89,G89))+I89)</f>
        <v>27.04274728368501</v>
      </c>
      <c r="P89" s="703"/>
    </row>
    <row r="90" spans="1:16" s="625" customFormat="1" ht="14.25">
      <c r="A90" s="664" t="s">
        <v>1584</v>
      </c>
      <c r="B90" s="701">
        <f>N46</f>
        <v>357.543847583478</v>
      </c>
      <c r="C90" s="643">
        <f>$E$19*COS(B90*PI()/180)-$E$20*SIN(B90*PI()/180)</f>
        <v>-0.13179121564744714</v>
      </c>
      <c r="D90" s="670">
        <f>$E$19*SIN(B90*PI()/180)+$E$20*COS(B90*PI()/180)</f>
        <v>-4.6964156881903966E-2</v>
      </c>
      <c r="E90" s="670">
        <f>$E$22*COS(B90*PI()/180)^2+$E$23*SIN(B90*PI()/180)^2</f>
        <v>3.5565469330061537</v>
      </c>
      <c r="F90" s="643">
        <f>$E$22*SIN(B90*PI()/180)^2+$E$23*COS(B90*PI()/180)^2</f>
        <v>18.240453066993844</v>
      </c>
      <c r="G90" s="670">
        <f>($E$18*(C90+$E$28)^2-$E$18*($E$21+$E$26)^2+$E$24-E90)/2</f>
        <v>4.5588625763979831</v>
      </c>
      <c r="H90" s="670">
        <f>$E$18*(C90+$E$28)*($E$21+$E$26)</f>
        <v>-3.4701067135454573</v>
      </c>
      <c r="I90" s="670">
        <f>$E$18*((C90+$E$28)^2+($E$21+$E$26)^2)/2+$E$18*(D90+$E$27)^2+($E$24+E90)/2</f>
        <v>15.140533464227264</v>
      </c>
      <c r="J90" s="670">
        <f>SQRT(G90^2+H90^2)+I90</f>
        <v>20.869832600585507</v>
      </c>
      <c r="K90" s="702">
        <f>$E$18*((C90+$E$28)^2+($E$21+$E$26)^2)+F90</f>
        <v>26.811474691193251</v>
      </c>
      <c r="L90" s="659">
        <f>$E$18*(D90^2+($E$21+$E$26)^2)+E90</f>
        <v>10.581670887829279</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0.13990910103871015</v>
      </c>
      <c r="P5" s="10"/>
      <c r="Q5" s="4" t="s">
        <v>91</v>
      </c>
      <c r="R5" s="10"/>
    </row>
    <row r="6" spans="1:18" ht="14.1" customHeight="1">
      <c r="B6" s="14" t="s">
        <v>427</v>
      </c>
      <c r="C6" s="72">
        <f>VLOOKUP($C$3,Table1,12)</f>
        <v>210</v>
      </c>
      <c r="D6" s="68">
        <f>HLOOKUP($C$4,$E$4:$H$12,3)</f>
        <v>101.95</v>
      </c>
      <c r="E6" s="68">
        <f>'Payload Input'!$E$18</f>
        <v>101.95</v>
      </c>
      <c r="F6" s="68">
        <f>'Payload Input'!$E$18</f>
        <v>101.95</v>
      </c>
      <c r="G6" s="147">
        <f>IF(('Misc Data'!$B$11=3),Anal_Input_1, 0)</f>
        <v>0</v>
      </c>
      <c r="H6" s="155">
        <f>I6</f>
        <v>0</v>
      </c>
      <c r="I6" s="156">
        <f>IF(('Misc Data'!$B$11=4),Anal_Input_1, 0)</f>
        <v>0</v>
      </c>
      <c r="J6" s="39"/>
      <c r="K6" s="51"/>
      <c r="L6" s="52"/>
      <c r="M6" s="400"/>
      <c r="N6" s="391" t="s">
        <v>840</v>
      </c>
      <c r="O6" s="52">
        <f>'Payload Input'!$E$21+'Payload Input'!$E$26</f>
        <v>0.25826713000000001</v>
      </c>
      <c r="Q6" s="31" t="s">
        <v>427</v>
      </c>
      <c r="R6" s="450">
        <f>D6</f>
        <v>101.95</v>
      </c>
    </row>
    <row r="7" spans="1:18" ht="14.1" customHeight="1">
      <c r="B7" s="14" t="s">
        <v>364</v>
      </c>
      <c r="C7" s="72">
        <f>VLOOKUP($C$3,Table1,6)</f>
        <v>1333</v>
      </c>
      <c r="D7" s="68">
        <f>IF(OR(Anal_Robot_Code=10111,Anal_Robot_Code=10214,Anal_Robot_Code=10215),"-",HLOOKUP($C$4,$E$4:$H$12,4))</f>
        <v>293.46714163640343</v>
      </c>
      <c r="E7" s="68">
        <f>'Payload Input'!$E$31</f>
        <v>293.46714163640343</v>
      </c>
      <c r="F7" s="68">
        <f>'Payload Input'!$E$31</f>
        <v>293.46714163640343</v>
      </c>
      <c r="G7" s="147">
        <f>IF(('Misc Data'!$B$11=3),Anal_Input_2, 0)</f>
        <v>0</v>
      </c>
      <c r="H7" s="155">
        <f>I7</f>
        <v>0</v>
      </c>
      <c r="I7" s="156">
        <f>IF(('Misc Data'!$B$11=4),Anal_Input_2, 0)</f>
        <v>0</v>
      </c>
      <c r="J7" s="39"/>
      <c r="K7" s="51" t="s">
        <v>1564</v>
      </c>
      <c r="L7" s="52">
        <f>D8*SIN(RADIANS(O10))</f>
        <v>139.78458193878572</v>
      </c>
      <c r="M7" s="39"/>
      <c r="N7" s="391" t="s">
        <v>3494</v>
      </c>
      <c r="O7" s="52">
        <f>DEGREES(IF(O6=0,0,ATAN2(O6,O5)))</f>
        <v>28.445399447035506</v>
      </c>
      <c r="Q7" s="31" t="s">
        <v>364</v>
      </c>
      <c r="R7" s="31">
        <f>IF(Axis_Type&lt;&gt;2,D7,IF(Wrist_Down_Fix=1,L7,D8))</f>
        <v>293.46714163640343</v>
      </c>
    </row>
    <row r="8" spans="1:18" ht="14.1" customHeight="1">
      <c r="A8" s="4"/>
      <c r="B8" s="14" t="s">
        <v>365</v>
      </c>
      <c r="C8" s="72">
        <f>VLOOKUP($C$3,Table1,7)</f>
        <v>1333</v>
      </c>
      <c r="D8" s="68">
        <f>HLOOKUP($C$4,$E$4:$H$12,5)</f>
        <v>293.46714163640343</v>
      </c>
      <c r="E8" s="68">
        <f>'Payload Input'!$E$32</f>
        <v>293.46714163640343</v>
      </c>
      <c r="F8" s="68">
        <f>'Payload Input'!$E$32</f>
        <v>293.46714163640343</v>
      </c>
      <c r="G8" s="147">
        <f>IF(('Misc Data'!$B$11=3),Anal_Input_3, 0)</f>
        <v>0</v>
      </c>
      <c r="H8" s="155">
        <f>I8</f>
        <v>0</v>
      </c>
      <c r="I8" s="156">
        <f>IF(('Misc Data'!$B$11=4),Anal_Input_3, 0)</f>
        <v>0</v>
      </c>
      <c r="J8" s="39"/>
      <c r="K8" s="51" t="s">
        <v>3182</v>
      </c>
      <c r="L8" s="52">
        <f>D9*SIN(RADIANS(L5))</f>
        <v>0</v>
      </c>
      <c r="M8" s="39"/>
      <c r="N8" s="391" t="s">
        <v>1493</v>
      </c>
      <c r="O8" s="52">
        <f>O7+L5</f>
        <v>28.445399447035506</v>
      </c>
      <c r="Q8" s="31" t="s">
        <v>365</v>
      </c>
      <c r="R8" s="31">
        <f>IF(Axis_Type&lt;&gt;2,D8,IF(Wrist_Down_Fix=1,L8,D9))</f>
        <v>293.46714163640343</v>
      </c>
    </row>
    <row r="9" spans="1:18" ht="14.1" customHeight="1">
      <c r="B9" s="14" t="s">
        <v>366</v>
      </c>
      <c r="C9" s="72">
        <f>VLOOKUP($C$3,Table1,8)</f>
        <v>706</v>
      </c>
      <c r="D9" s="68">
        <f>HLOOKUP($C$4,$E$4:$H$12,6)</f>
        <v>139.78458193878572</v>
      </c>
      <c r="E9" s="68">
        <f>'Payload Input'!$E$33</f>
        <v>139.78458193878572</v>
      </c>
      <c r="F9" s="68">
        <f>'Payload Input'!$E$33</f>
        <v>139.78458193878572</v>
      </c>
      <c r="G9" s="147">
        <f>IF(('Misc Data'!$B$11=3),Anal_Input_4, 0)</f>
        <v>0</v>
      </c>
      <c r="H9" s="155">
        <f>I9</f>
        <v>0</v>
      </c>
      <c r="I9" s="156">
        <f>IF(('Misc Data'!$B$11=4),Anal_Input_4, 0)</f>
        <v>0</v>
      </c>
      <c r="J9" s="39"/>
      <c r="K9" s="51"/>
      <c r="L9" s="52"/>
      <c r="M9" s="39"/>
      <c r="N9" s="391" t="s">
        <v>2815</v>
      </c>
      <c r="O9" s="52">
        <f>O7-L5</f>
        <v>28.445399447035506</v>
      </c>
      <c r="Q9" s="31" t="s">
        <v>366</v>
      </c>
      <c r="R9" s="31">
        <f>IF(Axis_Count=1,0,D9)</f>
        <v>139.78458193878572</v>
      </c>
    </row>
    <row r="10" spans="1:18" ht="14.1" customHeight="1" thickBot="1">
      <c r="B10" s="14" t="s">
        <v>1914</v>
      </c>
      <c r="C10" s="72">
        <f>VLOOKUP($C$3,Table1,9)</f>
        <v>141.1</v>
      </c>
      <c r="D10" s="68">
        <f>HLOOKUP($C$4,$E$4:$H$12,7)</f>
        <v>27.04274728368501</v>
      </c>
      <c r="E10" s="68">
        <f>'Payload Input'!$E$36</f>
        <v>27.04274728368501</v>
      </c>
      <c r="F10" s="68">
        <f>'Payload Input'!$E$36</f>
        <v>27.04274728368501</v>
      </c>
      <c r="G10" s="147">
        <f>IF(('Misc Data'!$B$11=3),Anal_Input_5, 0)</f>
        <v>0</v>
      </c>
      <c r="H10" s="155">
        <f>I10/H13</f>
        <v>0</v>
      </c>
      <c r="I10" s="156">
        <f>IF(('Misc Data'!$B$11=4),Anal_Input_5, 0)</f>
        <v>0</v>
      </c>
      <c r="J10" s="39"/>
      <c r="K10" s="51" t="s">
        <v>1599</v>
      </c>
      <c r="L10" s="392">
        <f>D11</f>
        <v>26.811474691193251</v>
      </c>
      <c r="M10" s="39"/>
      <c r="N10" s="453" t="s">
        <v>882</v>
      </c>
      <c r="O10" s="54">
        <f>IF(O9&lt;=90,IF(90&lt;=O8,90,O8),O9)</f>
        <v>28.445399447035506</v>
      </c>
      <c r="Q10" s="31" t="s">
        <v>1914</v>
      </c>
      <c r="R10" s="31">
        <f>IF(Axis_Type&lt;&gt;2,D10,IF(Wrist_Down_Fix=1,L10,D11))</f>
        <v>27.04274728368501</v>
      </c>
    </row>
    <row r="11" spans="1:18" ht="14.1" customHeight="1">
      <c r="B11" s="14" t="s">
        <v>1915</v>
      </c>
      <c r="C11" s="72">
        <f>VLOOKUP($C$3,Table1,10)</f>
        <v>141.1</v>
      </c>
      <c r="D11" s="68">
        <f>HLOOKUP($C$4,$E$4:$H$12,8)</f>
        <v>26.811474691193251</v>
      </c>
      <c r="E11" s="68">
        <f>'Payload Input'!$E$37</f>
        <v>26.811474691193251</v>
      </c>
      <c r="F11" s="68">
        <f>'Payload Input'!$E$37</f>
        <v>26.811474691193251</v>
      </c>
      <c r="G11" s="147">
        <f>IF(('Misc Data'!$B$11=3),Anal_Input_6, 0)</f>
        <v>0</v>
      </c>
      <c r="H11" s="155">
        <f>I11/H13</f>
        <v>0</v>
      </c>
      <c r="I11" s="156">
        <f>IF(('Misc Data'!$B$11=4),Anal_Input_6, 0)</f>
        <v>0</v>
      </c>
      <c r="J11" s="39"/>
      <c r="K11" s="51" t="s">
        <v>1060</v>
      </c>
      <c r="L11" s="392">
        <f>D12</f>
        <v>19.699396040625246</v>
      </c>
      <c r="M11" s="39"/>
      <c r="N11" s="151"/>
      <c r="Q11" s="31" t="s">
        <v>1915</v>
      </c>
      <c r="R11" s="31">
        <f>IF(Axis_Type&lt;&gt;2,D11,IF(Wrist_Down_Fix=1,L11,D12))</f>
        <v>26.811474691193251</v>
      </c>
    </row>
    <row r="12" spans="1:18" s="19" customFormat="1" ht="14.1" customHeight="1" thickBot="1">
      <c r="A12" s="5"/>
      <c r="B12" s="16" t="s">
        <v>554</v>
      </c>
      <c r="C12" s="73">
        <f>VLOOKUP($C$3,Table1,11)</f>
        <v>78.400000000000006</v>
      </c>
      <c r="D12" s="88">
        <f>HLOOKUP($C$4,$E$4:$H$12,9)</f>
        <v>19.699396040625246</v>
      </c>
      <c r="E12" s="69">
        <f>'Payload Input'!$E$38</f>
        <v>19.699396040625246</v>
      </c>
      <c r="F12" s="69">
        <f>'Payload Input'!$E$38</f>
        <v>19.699396040625246</v>
      </c>
      <c r="G12" s="148">
        <f>IF(('Misc Data'!$B$11=3),Anal_Input_7, 0)</f>
        <v>0</v>
      </c>
      <c r="H12" s="157">
        <f>I12/H13</f>
        <v>0</v>
      </c>
      <c r="I12" s="158">
        <f>IF(('Misc Data'!$B$11=4),Anal_Input_7, 0)</f>
        <v>0</v>
      </c>
      <c r="J12" s="32"/>
      <c r="K12" s="53"/>
      <c r="L12" s="393"/>
      <c r="M12" s="5"/>
      <c r="N12" s="151"/>
      <c r="O12" s="5"/>
      <c r="P12" s="5"/>
      <c r="Q12" s="31" t="s">
        <v>554</v>
      </c>
      <c r="R12" s="31">
        <f>IF(Axis_Count=1,0,D12)</f>
        <v>19.699396040625246</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47.2</v>
      </c>
      <c r="F20" s="39"/>
      <c r="I20" s="151"/>
      <c r="J20" s="39"/>
      <c r="K20" s="35"/>
      <c r="L20" s="400"/>
      <c r="M20" s="39"/>
      <c r="O20" s="400"/>
      <c r="Q20" s="31" t="s">
        <v>310</v>
      </c>
      <c r="R20" s="387">
        <f>D20</f>
        <v>47.2</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22</v>
      </c>
      <c r="E22" s="341">
        <f>TRUNC(D8/$C$7*100,0)</f>
        <v>22</v>
      </c>
      <c r="F22" s="341">
        <f>TRUNC(L7/$C$7*100,0)</f>
        <v>10</v>
      </c>
      <c r="G22" s="39"/>
      <c r="H22" s="39"/>
      <c r="I22" s="458" t="s">
        <v>493</v>
      </c>
      <c r="J22" s="39"/>
      <c r="K22" s="39"/>
      <c r="L22" s="455"/>
      <c r="M22" s="39"/>
      <c r="N22" s="337"/>
      <c r="O22" s="400"/>
      <c r="P22" s="39"/>
      <c r="Q22" s="55" t="s">
        <v>490</v>
      </c>
      <c r="R22" s="397">
        <f>IF(OR(Anal_Robot_Code=10111,Anal_Robot_Code=10214,Anal_Robot_Code=10215),I22,IF(Axis_Type&lt;&gt;2,D22,IF(Wrist_Down_Fix=1,F22,E22)))</f>
        <v>22</v>
      </c>
    </row>
    <row r="23" spans="1:18" s="4" customFormat="1" ht="14.1" customHeight="1">
      <c r="A23" s="5"/>
      <c r="B23" s="14" t="s">
        <v>491</v>
      </c>
      <c r="C23" s="65"/>
      <c r="D23" s="340">
        <f>IF(Wrist_Down_Fix=1,IF(C8&lt;D8,101,0),TRUNC(D8/$C$8*100,0))</f>
        <v>22</v>
      </c>
      <c r="E23" s="341">
        <f>TRUNC(D9/$C$8*100,0)</f>
        <v>10</v>
      </c>
      <c r="F23" s="341">
        <v>0</v>
      </c>
      <c r="G23" s="458" t="str">
        <f>IF(D23=0,"-","∞")</f>
        <v>∞</v>
      </c>
      <c r="H23" s="39"/>
      <c r="I23" s="39"/>
      <c r="J23" s="39"/>
      <c r="K23" s="39"/>
      <c r="L23" s="455"/>
      <c r="M23" s="39"/>
      <c r="N23" s="39"/>
      <c r="O23" s="400"/>
      <c r="P23" s="39"/>
      <c r="Q23" s="56" t="s">
        <v>491</v>
      </c>
      <c r="R23" s="459">
        <f>IF(Axis_Type&lt;&gt;2,IF(Wrist_Down_Fix=1,G23,D23),IF(Wrist_Down_Fix=1,F23,E23))</f>
        <v>22</v>
      </c>
    </row>
    <row r="24" spans="1:18" ht="14.1" customHeight="1" thickBot="1">
      <c r="B24" s="16" t="s">
        <v>492</v>
      </c>
      <c r="C24" s="66"/>
      <c r="D24" s="323">
        <f>TRUNC(D9/$C$9*100,0)</f>
        <v>19</v>
      </c>
      <c r="F24" s="39"/>
      <c r="G24" s="39"/>
      <c r="H24" s="39"/>
      <c r="I24" s="39"/>
      <c r="J24" s="39"/>
      <c r="K24" s="39"/>
      <c r="L24" s="455"/>
      <c r="M24" s="39"/>
      <c r="N24" s="414"/>
      <c r="O24" s="400"/>
      <c r="P24" s="39"/>
      <c r="Q24" s="48" t="s">
        <v>492</v>
      </c>
      <c r="R24" s="397">
        <f>IF(Axis_Count=1,0,D24)</f>
        <v>19</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19.200000000000003</v>
      </c>
      <c r="E26" s="341">
        <f>ROUNDUP(D11/$C10*100,1)</f>
        <v>19.100000000000001</v>
      </c>
      <c r="F26" s="341">
        <f>ROUNDUP(L10/$C$10*100,1)</f>
        <v>19.100000000000001</v>
      </c>
      <c r="G26" s="39"/>
      <c r="H26" s="39"/>
      <c r="I26" s="39"/>
      <c r="J26" s="39"/>
      <c r="K26" s="39"/>
      <c r="L26" s="455"/>
      <c r="M26" s="39"/>
      <c r="N26" s="39"/>
      <c r="O26" s="400"/>
      <c r="P26" s="39"/>
      <c r="Q26" s="55" t="s">
        <v>490</v>
      </c>
      <c r="R26" s="397">
        <f>IF(Axis_Type&lt;&gt;2,D26,IF(Wrist_Down_Fix=1,F26,E26))</f>
        <v>19.200000000000003</v>
      </c>
    </row>
    <row r="27" spans="1:18" ht="14.1" customHeight="1">
      <c r="B27" s="14" t="s">
        <v>491</v>
      </c>
      <c r="C27" s="65">
        <f>ROUND(C11/$G74*100,)</f>
        <v>66</v>
      </c>
      <c r="D27" s="340">
        <f>ROUNDUP(D11/$C11*100,1)</f>
        <v>19.100000000000001</v>
      </c>
      <c r="E27" s="341">
        <f>ROUNDUP(D12/$C11*100,1)</f>
        <v>14</v>
      </c>
      <c r="F27" s="341">
        <f>ROUNDUP(L11/$C11*100,1)</f>
        <v>14</v>
      </c>
      <c r="G27" s="39"/>
      <c r="H27" s="39"/>
      <c r="I27" s="39"/>
      <c r="J27" s="39"/>
      <c r="K27" s="39"/>
      <c r="L27" s="455"/>
      <c r="M27" s="39"/>
      <c r="N27" s="39"/>
      <c r="O27" s="400"/>
      <c r="P27" s="39"/>
      <c r="Q27" s="56" t="s">
        <v>491</v>
      </c>
      <c r="R27" s="397">
        <f>IF(Axis_Type&lt;&gt;2,D27,IF(Wrist_Down_Fix=1,F27,E27))</f>
        <v>19.100000000000001</v>
      </c>
    </row>
    <row r="28" spans="1:18" s="19" customFormat="1" ht="14.1" customHeight="1" thickBot="1">
      <c r="A28" s="5"/>
      <c r="B28" s="16" t="s">
        <v>492</v>
      </c>
      <c r="C28" s="66">
        <f>ROUND(C12/$G75*100,)</f>
        <v>76</v>
      </c>
      <c r="D28" s="323">
        <f>ROUNDUP(D12/$C12*100,1)</f>
        <v>25.200000000000003</v>
      </c>
      <c r="E28" s="5"/>
      <c r="F28" s="39"/>
      <c r="G28" s="5"/>
      <c r="H28" s="5"/>
      <c r="I28" s="5"/>
      <c r="J28" s="39"/>
      <c r="K28" s="39"/>
      <c r="L28" s="455"/>
      <c r="M28" s="39"/>
      <c r="N28" s="5"/>
      <c r="O28" s="5"/>
      <c r="P28" s="5"/>
      <c r="Q28" s="48" t="s">
        <v>492</v>
      </c>
      <c r="R28" s="398">
        <f>IF(Axis_Count=1,0,D28)</f>
        <v>25.200000000000003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404.34240549951198</v>
      </c>
      <c r="E65" s="362">
        <f>D8+(D11*$D$73)</f>
        <v>403.39418787029575</v>
      </c>
      <c r="F65" s="135"/>
      <c r="G65" s="135"/>
      <c r="J65" s="39"/>
      <c r="K65" s="400"/>
      <c r="L65" s="135"/>
      <c r="M65" s="135"/>
      <c r="N65" s="39"/>
    </row>
    <row r="66" spans="1:18" s="4" customFormat="1" ht="14.1" customHeight="1">
      <c r="A66" s="5"/>
      <c r="B66" s="37" t="s">
        <v>491</v>
      </c>
      <c r="C66" s="38">
        <f xml:space="preserve"> C8+(C11*$D$74)</f>
        <v>1726.6689999999999</v>
      </c>
      <c r="D66" s="38">
        <f xml:space="preserve"> D8+(D11*$D$74)</f>
        <v>368.27115602483258</v>
      </c>
      <c r="E66" s="362">
        <f xml:space="preserve"> D9+(D12*$D$74)</f>
        <v>194.74589689213016</v>
      </c>
      <c r="F66" s="135"/>
      <c r="G66" s="135"/>
      <c r="H66" s="5"/>
      <c r="I66" s="5"/>
      <c r="J66" s="39"/>
      <c r="K66" s="400"/>
      <c r="L66" s="135"/>
      <c r="M66" s="135"/>
      <c r="N66" s="39"/>
      <c r="O66" s="5"/>
      <c r="P66" s="5"/>
      <c r="Q66" s="5"/>
      <c r="R66" s="5"/>
    </row>
    <row r="67" spans="1:18" ht="14.1" customHeight="1">
      <c r="B67" s="37" t="s">
        <v>492</v>
      </c>
      <c r="C67" s="38">
        <f>C9+(C12*$D$75)</f>
        <v>935.71199999999999</v>
      </c>
      <c r="D67" s="38">
        <f>D9+(D12*$D$75)</f>
        <v>197.50381233781769</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101.95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-12.965999999999999</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-5.2569999999999997</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2.327</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36.015000000000001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186.40299999999999</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180.65100000000001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47.2</v>
      </c>
      <c r="D9" s="3">
        <v>0</v>
      </c>
      <c r="E9" s="3">
        <f>IF(H9&gt;$F$8, $F$8-$E$8, IF(H9&gt;$E$8, H9-$E$8, 0))</f>
        <v>0</v>
      </c>
      <c r="F9" s="3">
        <f>IF(H9&gt;$F$8, H9-$F$8, 0)</f>
        <v>0</v>
      </c>
      <c r="H9" s="3">
        <f>'Wrist Load Analysis'!R20</f>
        <v>47.2</v>
      </c>
    </row>
    <row r="11" spans="1:8">
      <c r="A11" s="3" t="s">
        <v>348</v>
      </c>
      <c r="B11" s="3" t="s">
        <v>2344</v>
      </c>
      <c r="C11" s="3">
        <f>IF(H11&gt;$E$8, $E$8, H11)</f>
        <v>22</v>
      </c>
      <c r="D11" s="3">
        <v>0</v>
      </c>
      <c r="E11" s="3">
        <f>IF(H11&gt;$F$8, $F$8-$E$8, IF(H11&gt;$E$8, H11-$E$8, 0))</f>
        <v>0</v>
      </c>
      <c r="F11" s="3">
        <f>IF(H11&gt;$F$8, H11-$F$8, 0)</f>
        <v>0</v>
      </c>
      <c r="H11" s="3">
        <f>IF(Anal_Robot_Code=10111,0,'Wrist Load Analysis'!R22)</f>
        <v>22</v>
      </c>
    </row>
    <row r="12" spans="1:8">
      <c r="B12" s="3" t="s">
        <v>1618</v>
      </c>
      <c r="C12" s="3">
        <f>IF(H12&gt;$E$8, $E$8, H12)</f>
        <v>22</v>
      </c>
      <c r="D12" s="3">
        <v>0</v>
      </c>
      <c r="E12" s="3">
        <f>IF(H12&gt;$F$8, $F$8-$E$8, IF(H12&gt;$E$8, H12-$E$8, 0))</f>
        <v>0</v>
      </c>
      <c r="F12" s="3">
        <f>IF(H12&gt;$F$8, H12-$F$8, 0)</f>
        <v>0</v>
      </c>
      <c r="H12" s="3">
        <f>'Wrist Load Analysis'!R23</f>
        <v>22</v>
      </c>
    </row>
    <row r="13" spans="1:8">
      <c r="B13" s="3" t="str">
        <f>IF(Axis_Count=1,"","J6")</f>
        <v>J6</v>
      </c>
      <c r="C13" s="3">
        <f>IF(H13&gt;$E$8, $E$8, H13)</f>
        <v>19</v>
      </c>
      <c r="D13" s="3">
        <v>0</v>
      </c>
      <c r="E13" s="3">
        <f>IF(H13&gt;$F$8, $F$8-$E$8, IF(H13&gt;$E$8, H13-$E$8, 0))</f>
        <v>0</v>
      </c>
      <c r="F13" s="3">
        <f>IF(H13&gt;$F$8, H13-$F$8, 0)</f>
        <v>0</v>
      </c>
      <c r="H13" s="3">
        <f>'Wrist Load Analysis'!R24</f>
        <v>19</v>
      </c>
    </row>
    <row r="15" spans="1:8">
      <c r="A15" s="3" t="s">
        <v>488</v>
      </c>
      <c r="B15" s="3" t="s">
        <v>2344</v>
      </c>
      <c r="C15" s="3">
        <f>IF(H15&gt;E8, E8, H15)</f>
        <v>19.200000000000003</v>
      </c>
      <c r="D15" s="3">
        <v>0</v>
      </c>
      <c r="E15" s="3">
        <f>IF(H15&gt;$F$8, $F$8-$E$8, IF(H15&gt;$E$8, H15-$E$8, 0))</f>
        <v>0</v>
      </c>
      <c r="F15" s="3">
        <f>IF(H15&gt;$F$8, H15-$F$8, 0)</f>
        <v>0</v>
      </c>
      <c r="H15" s="3">
        <f>'Wrist Load Analysis'!R26</f>
        <v>19.200000000000003</v>
      </c>
    </row>
    <row r="16" spans="1:8">
      <c r="B16" s="3" t="s">
        <v>1618</v>
      </c>
      <c r="C16" s="3">
        <f>IF(H16&gt;E8, E8, H16)</f>
        <v>19.100000000000001</v>
      </c>
      <c r="D16" s="3">
        <v>0</v>
      </c>
      <c r="E16" s="3">
        <f>IF(H16&gt;$F$8, $F$8-$E$8, IF(H16&gt;$E$8, H16-$E$8, 0))</f>
        <v>0</v>
      </c>
      <c r="F16" s="3">
        <f>IF(H16&gt;$F$8, H16-$F$8, 0)</f>
        <v>0</v>
      </c>
      <c r="H16" s="3">
        <f>'Wrist Load Analysis'!R27</f>
        <v>19.100000000000001</v>
      </c>
    </row>
    <row r="17" spans="1:16">
      <c r="B17" s="3" t="str">
        <f>IF(Axis_Count=1,"","J6")</f>
        <v>J6</v>
      </c>
      <c r="C17" s="3">
        <f>IF(H17&gt;E8, E8, H17)</f>
        <v>25.200000000000003</v>
      </c>
      <c r="D17" s="3">
        <v>0</v>
      </c>
      <c r="E17" s="3">
        <f>IF(H17&gt;$F$8, $F$8-$E$8, IF(H17&gt;$E$8, H17-$E$8, 0))</f>
        <v>0</v>
      </c>
      <c r="F17" s="3">
        <f>IF(H17&gt;$F$8, H17-$F$8, 0)</f>
        <v>0</v>
      </c>
      <c r="H17" s="3">
        <f>'Wrist Load Analysis'!R28</f>
        <v>25.200000000000003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293.46714163640343</v>
      </c>
      <c r="G25" s="209">
        <f>'Wrist Load Analysis'!R10</f>
        <v>27.04274728368501</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293.46714163640343</v>
      </c>
      <c r="G29" s="209">
        <f>'Wrist Load Analysis'!R11</f>
        <v>26.811474691193251</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139.78458193878572</v>
      </c>
      <c r="G33" s="209">
        <f>'Wrist Load Analysis'!R12</f>
        <v>19.699396040625246</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2016-12-06T19:11:33Z</cp:lastPrinted>
  <dcterms:created xsi:type="dcterms:W3CDTF">1999-12-01T08:04:04Z</dcterms:created>
  <dcterms:modified xsi:type="dcterms:W3CDTF">2016-12-07T00:22:38Z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