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O34" i="60" l="1"/>
  <c r="P25" i="60"/>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c r="R49" i="37" l="1"/>
  <c r="O50" i="37" s="1"/>
  <c r="P50" i="37" s="1"/>
  <c r="H78" i="37"/>
  <c r="I78" i="37"/>
  <c r="G78" i="37"/>
  <c r="B76" i="37"/>
  <c r="F77" i="37"/>
  <c r="C77" i="37"/>
  <c r="D77" i="37"/>
  <c r="E77" i="37"/>
  <c r="B82" i="37"/>
  <c r="F81" i="37"/>
  <c r="E81" i="37"/>
  <c r="C81" i="37"/>
  <c r="D81" i="37"/>
  <c r="J79" i="37"/>
  <c r="K79" i="37"/>
  <c r="L79" i="37" s="1"/>
  <c r="Q50" i="37"/>
  <c r="H80" i="37"/>
  <c r="I80" i="37"/>
  <c r="G80" i="37"/>
  <c r="R50" i="37" l="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l="1"/>
  <c r="O66" i="37" s="1"/>
  <c r="P66" i="37" s="1"/>
  <c r="Q66" i="37" l="1"/>
  <c r="R66" i="37" s="1"/>
  <c r="S66" i="37" l="1"/>
  <c r="X66" i="37" s="1"/>
  <c r="U66" i="37"/>
  <c r="T66" i="37"/>
  <c r="Y66" i="37" s="1"/>
  <c r="V66" i="37"/>
  <c r="W66" i="37"/>
  <c r="Z66" i="37" l="1"/>
  <c r="AA66" i="37"/>
  <c r="AB66" i="37" l="1"/>
  <c r="O67" i="37" s="1"/>
  <c r="Q67" i="37" s="1"/>
  <c r="P67" i="37" l="1"/>
  <c r="T67" i="37" s="1"/>
  <c r="Y67" i="37" s="1"/>
  <c r="V67" i="37"/>
  <c r="R67" i="37"/>
  <c r="U67" i="37"/>
  <c r="S67" i="37" l="1"/>
  <c r="X67" i="37" s="1"/>
  <c r="W67" i="37"/>
  <c r="AA67" i="37"/>
  <c r="Z67" i="37"/>
  <c r="AB67" i="37" l="1"/>
  <c r="O68" i="37" s="1"/>
  <c r="P68" i="37" s="1"/>
  <c r="Q68" i="37" l="1"/>
  <c r="W68" i="37" s="1"/>
  <c r="U68" i="37"/>
  <c r="V68" i="37"/>
  <c r="T68" i="37" l="1"/>
  <c r="Y68" i="37" s="1"/>
  <c r="S68" i="37"/>
  <c r="X68" i="37" s="1"/>
  <c r="R68" i="37"/>
  <c r="Z68" i="37" l="1"/>
  <c r="AA68" i="37"/>
  <c r="AB68" i="37" s="1"/>
  <c r="O69" i="37" s="1"/>
  <c r="Q69" i="37" s="1"/>
  <c r="P69" i="37" l="1"/>
  <c r="T69" i="37"/>
  <c r="Y69" i="37" s="1"/>
  <c r="V69" i="37"/>
  <c r="R69" i="37"/>
  <c r="W69" i="37"/>
  <c r="U69" i="37"/>
  <c r="S69" i="37"/>
  <c r="X69" i="37" s="1"/>
  <c r="AA69" i="37" l="1"/>
  <c r="Z69" i="37"/>
  <c r="AB69" i="37" l="1"/>
  <c r="O70" i="37" s="1"/>
  <c r="P70" i="37" s="1"/>
  <c r="N63" i="37" l="1"/>
  <c r="B89" i="37" s="1"/>
  <c r="E89" i="37" s="1"/>
  <c r="Q70" i="37"/>
  <c r="S70" i="37" s="1"/>
  <c r="X70" i="37" s="1"/>
  <c r="F89" i="37"/>
  <c r="C89" i="37"/>
  <c r="H89" i="37" s="1"/>
  <c r="V70" i="37"/>
  <c r="D89" i="37"/>
  <c r="L89" i="37" s="1"/>
  <c r="K36" i="37"/>
  <c r="U70" i="37" l="1"/>
  <c r="W70" i="37"/>
  <c r="T70" i="37"/>
  <c r="Y70" i="37" s="1"/>
  <c r="R70" i="37"/>
  <c r="I89" i="37"/>
  <c r="G89" i="37"/>
  <c r="K89" i="37"/>
  <c r="Z70" i="37" l="1"/>
  <c r="AA70" i="37"/>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<sst xmlns="http://schemas.openxmlformats.org/spreadsheetml/2006/main" count="6673" uniqueCount="4044">
  <si>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</si>
  <si>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</si>
  <si>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</si>
  <si>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</si>
  <si>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</si>
  <si>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</si>
  <si>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</si>
  <si>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</si>
  <si>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</si>
  <si>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</si>
  <si>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</si>
  <si>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</si>
  <si>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</si>
  <si>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</si>
  <si>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</si>
  <si>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</si>
  <si>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</si>
  <si>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</si>
  <si>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</si>
  <si>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</si>
  <si>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</si>
  <si>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</si>
  <si>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</si>
  <si>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</si>
  <si>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</si>
  <si>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</si>
  <si>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</si>
  <si>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</si>
  <si>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</si>
  <si>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</si>
  <si>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</si>
  <si>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</si>
  <si>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</si>
  <si>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</si>
  <si>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</si>
  <si>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</si>
  <si>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</si>
  <si>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</si>
  <si>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</si>
  <si>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</si>
  <si>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</si>
  <si>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</si>
  <si>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</si>
  <si>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</si>
  <si>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</si>
  <si>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</si>
  <si>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</si>
  <si>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</si>
  <si>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</si>
  <si>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</si>
  <si>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</si>
  <si>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</si>
  <si>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</si>
  <si>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</si>
  <si>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</si>
  <si>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</si>
  <si>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</si>
  <si>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</si>
  <si>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</si>
  <si>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</si>
  <si>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</si>
  <si>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</si>
  <si>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</si>
  <si>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</si>
  <si>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</si>
  <si>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</si>
  <si>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</si>
  <si>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</si>
  <si>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</si>
  <si>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</si>
  <si>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</si>
  <si>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</si>
  <si>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</si>
  <si>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</si>
  <si>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</si>
  <si>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</si>
  <si>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</si>
  <si>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</si>
  <si>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</si>
  <si>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</si>
  <si>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</si>
  <si>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</si>
  <si>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</si>
  <si>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</si>
  <si>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</si>
  <si>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</si>
  <si>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</si>
  <si>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</si>
  <si>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</si>
  <si>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</si>
  <si>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</si>
  <si>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</si>
  <si>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</si>
  <si>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</si>
  <si>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</si>
  <si>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</si>
  <si>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</si>
  <si>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</si>
  <si>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</si>
  <si>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</si>
  <si>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</si>
  <si>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</si>
  <si>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</si>
  <si>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</si>
  <si>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</si>
  <si>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</si>
  <si>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</si>
  <si>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</si>
  <si>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</si>
  <si>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</si>
  <si>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</si>
  <si>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</si>
  <si>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</si>
  <si>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</si>
  <si>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</si>
  <si>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</si>
  <si>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</si>
  <si>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</si>
  <si>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</si>
  <si>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</si>
  <si>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</si>
  <si>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</si>
  <si>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</si>
  <si>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</si>
  <si>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</si>
  <si>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</si>
  <si>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</si>
  <si>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</si>
  <si>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</si>
  <si>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</si>
  <si>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</si>
  <si>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</si>
  <si>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</si>
  <si>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</si>
  <si>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</si>
  <si>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</si>
  <si>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</si>
  <si>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</si>
  <si>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</si>
  <si>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</si>
  <si>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</si>
  <si>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</si>
  <si>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</si>
  <si>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</si>
  <si>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</si>
  <si>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</si>
  <si>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</si>
  <si>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</si>
  <si>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</si>
  <si>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</si>
  <si>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</si>
  <si>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</si>
  <si>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</si>
  <si>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</si>
  <si>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</si>
  <si>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</si>
  <si>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</si>
  <si>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</si>
  <si>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</si>
  <si>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</si>
  <si>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</si>
  <si>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</si>
  <si>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</si>
  <si>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</si>
  <si>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</si>
  <si>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</si>
  <si>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</si>
  <si>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</si>
  <si>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</si>
  <si>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</si>
  <si>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</si>
  <si>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</si>
  <si>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</si>
  <si>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</si>
  <si>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</si>
  <si>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</si>
  <si>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</si>
  <si>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</si>
  <si>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</si>
  <si>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</si>
  <si>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</si>
  <si>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</si>
  <si>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</si>
  <si>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</si>
  <si>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</si>
  <si>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</si>
  <si>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</si>
  <si>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</si>
  <si>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</si>
  <si>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</si>
  <si>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</si>
  <si>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</si>
  <si>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</si>
  <si>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</si>
  <si>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</si>
  <si>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</si>
  <si>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</si>
  <si>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</si>
  <si>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</si>
  <si>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</si>
  <si>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</si>
  <si>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</si>
  <si>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</si>
  <si>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</si>
  <si>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</si>
  <si>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</si>
  <si>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</si>
  <si>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</si>
  <si>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</si>
  <si>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</si>
  <si>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</si>
  <si>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</si>
  <si>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</si>
  <si>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</si>
  <si>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</si>
  <si>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</si>
  <si>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</si>
  <si>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</si>
  <si>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</si>
  <si>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</si>
  <si>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</si>
  <si>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</si>
  <si>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</si>
  <si>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</si>
  <si>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</si>
  <si>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</si>
  <si>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</si>
  <si>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</si>
  <si>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</si>
  <si>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</si>
  <si>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</si>
  <si>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</si>
  <si>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</si>
  <si>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</si>
  <si>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</si>
  <si>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</si>
  <si>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</si>
  <si>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</si>
  <si>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</si>
  <si>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</si>
  <si>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</si>
  <si>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</si>
  <si>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</si>
  <si>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</si>
  <si>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</si>
  <si>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</si>
  <si>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</si>
  <si>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</si>
  <si>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</si>
  <si>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</si>
  <si>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</si>
  <si>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</si>
  <si>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</si>
  <si>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</si>
  <si>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</si>
  <si>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</si>
  <si>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</si>
  <si>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</si>
  <si>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</si>
  <si>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</si>
  <si>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</si>
  <si>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</si>
  <si>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</si>
  <si>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</si>
  <si>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</si>
  <si>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</si>
  <si>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</si>
  <si>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</si>
  <si>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</si>
  <si>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</si>
  <si>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</si>
  <si>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</si>
  <si>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</si>
  <si>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</si>
  <si>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</si>
  <si>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</si>
  <si>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</si>
  <si>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</si>
  <si>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</si>
  <si>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</si>
  <si>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</si>
  <si>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</si>
  <si>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</si>
  <si>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</si>
  <si>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</si>
  <si>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</si>
  <si>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</si>
  <si>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</si>
  <si>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</si>
  <si>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</si>
  <si>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</si>
  <si>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</si>
  <si>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</si>
  <si>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</si>
  <si>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</si>
  <si>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</si>
  <si>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</si>
  <si>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</si>
  <si>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</si>
  <si>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</si>
  <si>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</si>
  <si>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</si>
  <si>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</si>
  <si>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</si>
  <si>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</si>
  <si>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</si>
  <si>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</si>
  <si>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</si>
  <si>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</si>
  <si>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</si>
  <si>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</si>
  <si>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</si>
  <si>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</si>
  <si>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</si>
  <si>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</si>
  <si>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</si>
  <si>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</si>
  <si>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</si>
  <si>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</si>
  <si>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</si>
  <si>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</si>
  <si>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</si>
  <si>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</si>
  <si>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</si>
  <si>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</si>
  <si>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</si>
  <si>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</si>
  <si>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</si>
  <si>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</si>
  <si>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</si>
  <si>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</si>
  <si>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</si>
  <si>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</si>
  <si>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</si>
  <si>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</si>
  <si>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</si>
  <si>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</si>
  <si>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</si>
  <si>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</si>
  <si>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</si>
  <si>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</si>
  <si>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</si>
  <si>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</si>
  <si>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</si>
  <si>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</si>
  <si>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</si>
  <si>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</si>
  <si>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</si>
  <si>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</si>
  <si>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</si>
  <si>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</si>
  <si>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</si>
  <si>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</si>
  <si>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</si>
  <si>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</si>
  <si>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</si>
  <si>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</si>
  <si>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</si>
  <si>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</si>
  <si>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</si>
  <si>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</si>
  <si>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</si>
  <si>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</si>
  <si>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</si>
  <si>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</si>
  <si>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</si>
  <si>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</si>
  <si>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</si>
  <si>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</si>
  <si>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</si>
  <si>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</si>
  <si>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</si>
  <si>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</si>
  <si>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</si>
  <si>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</si>
  <si>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</si>
  <si>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</si>
  <si>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</si>
  <si>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</si>
  <si>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</si>
  <si>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</si>
  <si>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</si>
  <si>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</si>
  <si>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</si>
  <si>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</si>
  <si>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</si>
  <si>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</si>
  <si>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</si>
  <si>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</si>
  <si>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</si>
  <si>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</si>
  <si>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</si>
  <si>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</si>
  <si>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</si>
  <si>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</si>
  <si>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</si>
  <si>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</si>
  <si>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</si>
  <si>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</si>
  <si>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</si>
  <si>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</si>
  <si>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</si>
  <si>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</si>
  <si>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</si>
  <si>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</si>
  <si>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</si>
  <si>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</si>
  <si>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</si>
  <si>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</si>
  <si>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</si>
  <si>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</si>
  <si>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</si>
  <si>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</si>
  <si>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</si>
  <si>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</si>
  <si>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</si>
  <si>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</si>
  <si>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</si>
  <si>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</si>
  <si>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</si>
  <si>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</si>
  <si>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</si>
  <si>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</si>
  <si>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</si>
  <si>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</si>
  <si>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</si>
  <si>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</si>
  <si>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</si>
  <si>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</si>
  <si>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</si>
  <si>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</si>
  <si>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</si>
  <si>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</si>
  <si>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</si>
  <si>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</si>
  <si>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</si>
  <si>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</si>
  <si>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</si>
  <si>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</si>
  <si>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</si>
  <si>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</si>
  <si>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</si>
  <si>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</si>
  <si>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</si>
  <si>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</si>
  <si>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</si>
  <si>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</si>
  <si>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</si>
  <si>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</si>
  <si>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</si>
  <si>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</si>
  <si>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</si>
  <si>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</si>
  <si>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</si>
  <si>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</si>
  <si>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</si>
  <si>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</si>
  <si>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</si>
  <si>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</si>
  <si>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</si>
  <si>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</si>
  <si>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</si>
  <si>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</si>
  <si>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</si>
  <si>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</si>
  <si>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</si>
  <si>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</si>
  <si>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</si>
  <si>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</si>
  <si>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</si>
  <si>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</si>
  <si>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</si>
  <si>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</si>
  <si>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</si>
  <si>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</si>
  <si>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</si>
  <si>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</si>
  <si>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</si>
  <si>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</si>
  <si>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</si>
  <si>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</si>
  <si>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</si>
  <si>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</si>
  <si>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</si>
  <si>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</si>
  <si>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</si>
  <si>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</si>
  <si>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</si>
  <si>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</si>
  <si>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</si>
  <si>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</si>
  <si>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</si>
  <si>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</si>
  <si>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</si>
  <si>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</si>
  <si>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</si>
  <si>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</si>
  <si>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</si>
  <si>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</si>
  <si>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</si>
  <si>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</si>
  <si>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</si>
  <si>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</si>
  <si>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</si>
  <si>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</si>
  <si>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</si>
  <si>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</si>
  <si>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</si>
  <si>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</si>
  <si>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</si>
  <si>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</si>
  <si>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</si>
  <si>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</si>
  <si>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</si>
  <si>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</si>
  <si>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</si>
  <si>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</si>
  <si>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</si>
  <si>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</si>
  <si>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</si>
  <si>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</si>
  <si>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</si>
  <si>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</si>
  <si>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</si>
  <si>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</si>
  <si>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</si>
  <si>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</si>
  <si>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</si>
  <si>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</si>
  <si>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</si>
  <si>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</si>
  <si>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</si>
  <si>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</si>
  <si>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</si>
  <si>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</si>
  <si>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</si>
  <si>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</si>
  <si>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</si>
  <si>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</si>
  <si>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</si>
  <si>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</si>
  <si>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</si>
  <si>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</si>
  <si>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</si>
  <si>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</si>
  <si>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</si>
  <si>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</si>
  <si>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</si>
  <si>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</si>
  <si>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</si>
  <si>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</si>
  <si>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</si>
  <si>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</si>
  <si>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</si>
  <si>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</si>
  <si>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</si>
  <si>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</si>
  <si>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</si>
  <si>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</si>
  <si>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</si>
  <si>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</si>
  <si>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</si>
  <si>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</si>
  <si>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</si>
  <si>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</si>
  <si>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</si>
  <si>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</si>
  <si>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</si>
  <si>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</si>
  <si>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</si>
  <si>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</si>
  <si>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</si>
  <si>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</si>
  <si>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</si>
  <si>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</si>
  <si>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</si>
  <si>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</si>
  <si>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</si>
  <si>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</si>
  <si>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</si>
  <si>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</si>
  <si>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</si>
  <si>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</si>
  <si>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</si>
  <si>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</si>
  <si>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</si>
  <si>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</si>
  <si>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</si>
  <si>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</si>
  <si>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</si>
  <si>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</si>
  <si>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</si>
  <si>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</si>
  <si>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</si>
  <si>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</si>
  <si>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</si>
  <si>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</si>
  <si>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</si>
  <si>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</si>
  <si>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</si>
  <si>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</si>
  <si>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</si>
  <si>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</si>
  <si>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</si>
  <si>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</si>
  <si>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</si>
  <si>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</si>
  <si>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</si>
  <si>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</si>
  <si>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</si>
  <si>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</si>
  <si>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</si>
  <si>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</si>
  <si>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</si>
  <si>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</si>
  <si>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</si>
  <si>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</si>
  <si>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</si>
  <si>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</si>
  <si>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</si>
  <si>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</si>
  <si>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</si>
  <si>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</si>
  <si>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</si>
  <si>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</si>
  <si>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</si>
  <si>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</si>
  <si>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</si>
  <si>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</si>
  <si>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</si>
  <si>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</si>
  <si>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</si>
  <si>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</si>
  <si>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</si>
  <si>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</si>
  <si>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</si>
  <si>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</si>
  <si>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</si>
  <si>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</si>
  <si>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</si>
  <si>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</si>
  <si>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</si>
  <si>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</si>
  <si>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</si>
  <si>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</si>
  <si>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</si>
  <si>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</si>
  <si>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</si>
  <si>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</si>
  <si>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</si>
  <si>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</si>
  <si>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</si>
  <si>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</si>
  <si>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</si>
  <si>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</si>
  <si>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</si>
  <si>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</si>
  <si>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</si>
  <si>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</si>
  <si>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</si>
  <si>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</si>
  <si>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</si>
  <si>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</si>
  <si>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</si>
  <si>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</si>
  <si>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</si>
  <si>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</si>
  <si>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</si>
  <si>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</si>
  <si>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</si>
  <si>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</si>
  <si>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</si>
  <si>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</si>
  <si>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</si>
  <si>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</si>
  <si>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</si>
  <si>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</si>
  <si>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</si>
  <si>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</si>
  <si>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</si>
  <si>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</si>
  <si>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</si>
  <si>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</si>
  <si>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</si>
  <si>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</si>
  <si>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</si>
  <si>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</si>
  <si>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</si>
  <si>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</si>
  <si>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</si>
  <si>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</si>
  <si>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</si>
  <si>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</si>
  <si>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</si>
  <si>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</si>
  <si>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</si>
  <si>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</si>
  <si>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</si>
  <si>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</si>
  <si>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</si>
  <si>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</si>
  <si>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</si>
  <si>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</si>
  <si>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</si>
  <si>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</si>
  <si>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</si>
  <si>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</si>
  <si>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</si>
  <si>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</si>
  <si>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</si>
  <si>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</si>
  <si>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</si>
  <si>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</si>
  <si>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</si>
  <si>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</si>
  <si>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</si>
  <si>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</si>
  <si>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</si>
  <si>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</si>
  <si>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</si>
  <si>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</si>
  <si>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</si>
  <si>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</si>
  <si>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</si>
  <si>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</si>
  <si>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</si>
  <si>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</si>
  <si>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</si>
  <si>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</si>
  <si>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</si>
  <si>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</si>
  <si>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</si>
  <si>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</si>
  <si>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</si>
  <si>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</si>
  <si>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</si>
  <si>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</si>
  <si>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</si>
  <si>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</si>
  <si>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</si>
  <si>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</si>
  <si>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</si>
  <si>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</si>
  <si>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</si>
  <si>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</si>
  <si>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</si>
  <si>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</si>
  <si>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</si>
  <si>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</si>
  <si>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</si>
  <si>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</si>
  <si>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</si>
  <si>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</si>
  <si>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</si>
  <si>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</si>
  <si>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</si>
  <si>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</si>
  <si>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</si>
  <si>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</si>
  <si>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</si>
  <si>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</si>
  <si>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</si>
  <si>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</si>
  <si>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</si>
  <si>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</si>
  <si>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</si>
  <si>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</si>
  <si>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</si>
  <si>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</si>
  <si>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</si>
  <si>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</si>
  <si>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</si>
  <si>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</si>
  <si>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</si>
  <si>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</si>
  <si>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</si>
  <si>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</si>
  <si>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</si>
  <si>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</si>
  <si>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</si>
  <si>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</si>
  <si>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</si>
  <si>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</si>
  <si>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</si>
  <si>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</si>
  <si>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</si>
  <si>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</si>
  <si>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</si>
  <si>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</si>
  <si>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</si>
  <si>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</si>
  <si>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</si>
  <si>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</si>
  <si>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</si>
  <si>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</si>
  <si>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</si>
  <si>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</si>
  <si>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</si>
  <si>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</si>
  <si>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</si>
  <si>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</si>
  <si>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</si>
  <si>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</si>
  <si>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</si>
  <si>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</si>
  <si>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</si>
  <si>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</si>
  <si>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</si>
  <si>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</si>
  <si>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</si>
  <si>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</si>
  <si>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</si>
  <si>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</si>
  <si>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</si>
  <si>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</si>
  <si>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</si>
  <si>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</si>
  <si>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</si>
  <si>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</si>
  <si>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</si>
  <si>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</si>
  <si>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</si>
  <si>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</si>
  <si>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</si>
  <si>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</si>
  <si>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</si>
  <si>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</si>
  <si>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</si>
  <si>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</si>
  <si>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</si>
  <si>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</si>
  <si>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</si>
  <si>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</si>
  <si>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</si>
  <si>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</si>
  <si>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</si>
  <si>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</si>
  <si>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</si>
  <si>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</si>
  <si>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</si>
  <si>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</si>
  <si>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</si>
  <si>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</si>
  <si>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</si>
  <si>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</si>
  <si>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</si>
  <si>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</si>
  <si>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</si>
  <si>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</si>
  <si>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</si>
  <si>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</si>
  <si>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</si>
  <si>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</si>
  <si>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</si>
  <si>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</si>
  <si>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</si>
  <si>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</si>
  <si>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</si>
  <si>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</si>
  <si>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</si>
  <si>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</si>
  <si>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</si>
  <si>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</si>
  <si>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</si>
  <si>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</si>
  <si>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</si>
  <si>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</si>
  <si>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</si>
  <si>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</si>
  <si>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</si>
  <si>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</si>
  <si>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</si>
  <si>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</si>
  <si>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</si>
  <si>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</si>
  <si>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</si>
  <si>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</si>
  <si>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</si>
  <si>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</si>
  <si>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</si>
  <si>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</si>
  <si>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</si>
  <si>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</si>
  <si>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</si>
  <si>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</si>
  <si>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</si>
  <si>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</si>
  <si>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</si>
  <si>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</si>
  <si>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</si>
  <si>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</si>
  <si>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</si>
  <si>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</si>
  <si>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</si>
  <si>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</si>
  <si>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</si>
  <si>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</si>
  <si>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</si>
  <si>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</si>
  <si>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</si>
  <si>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</si>
  <si>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</si>
  <si>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</si>
  <si>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</si>
  <si>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</si>
  <si>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</si>
  <si>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</si>
  <si>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</si>
  <si>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</si>
  <si>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</si>
  <si>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</si>
  <si>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</si>
  <si>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</si>
  <si>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</si>
  <si>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</si>
  <si>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</si>
  <si>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</si>
  <si>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</si>
  <si>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</si>
  <si>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</si>
  <si>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</si>
  <si>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</si>
  <si>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</si>
  <si>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</si>
  <si>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</si>
  <si>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</si>
  <si>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</si>
  <si>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</si>
  <si>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</si>
  <si>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</si>
  <si>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</si>
  <si>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</si>
  <si>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</si>
  <si>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</si>
  <si>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</si>
  <si>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</si>
  <si>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</si>
  <si>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</si>
  <si>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</si>
  <si>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</si>
  <si>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</si>
  <si>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</si>
  <si>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</si>
  <si>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</si>
  <si>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</si>
  <si>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</si>
  <si>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</si>
  <si>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</si>
  <si>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</si>
  <si>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</si>
  <si>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</si>
  <si>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</si>
  <si>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</si>
  <si>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</si>
  <si>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</si>
  <si>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</si>
  <si>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</si>
  <si>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</si>
  <si>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</si>
  <si>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</si>
  <si>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</si>
  <si>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</si>
  <si>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</si>
  <si>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</si>
  <si>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</si>
  <si>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</si>
  <si>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</si>
  <si>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</si>
  <si>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</si>
  <si>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</si>
  <si>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</si>
  <si>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</si>
  <si>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</si>
  <si>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</si>
  <si>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</si>
  <si>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</si>
  <si>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</si>
  <si>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</si>
  <si>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</si>
  <si>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</si>
  <si>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</si>
  <si>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</si>
  <si>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</si>
  <si>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</si>
  <si>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</si>
  <si>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</si>
  <si>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</si>
  <si>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</si>
  <si>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</si>
  <si>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</si>
  <si>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</si>
  <si>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</si>
  <si>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</si>
  <si>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</si>
  <si>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</si>
  <si>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</si>
  <si>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</si>
  <si>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</si>
  <si>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</si>
  <si>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</si>
  <si>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</si>
  <si>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</si>
  <si>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</si>
  <si>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</si>
  <si>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</si>
  <si>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</si>
  <si>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</si>
  <si>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</si>
  <si>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</si>
  <si>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</si>
  <si>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</si>
  <si>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</si>
  <si>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</si>
  <si>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</si>
  <si>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</si>
  <si>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</si>
  <si>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</si>
  <si>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</si>
  <si>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</si>
  <si>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</si>
  <si>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</si>
  <si>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</si>
  <si>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</si>
  <si>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</si>
  <si>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</si>
  <si>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</si>
  <si>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</si>
  <si>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</si>
  <si>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</si>
  <si>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</si>
  <si>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</si>
  <si>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</si>
  <si>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</si>
  <si>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</si>
  <si>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</si>
  <si>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</si>
  <si>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</si>
  <si>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</si>
  <si>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</si>
  <si>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</si>
  <si>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</si>
  <si>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</si>
  <si>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</si>
  <si>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</si>
  <si>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</si>
  <si>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</si>
  <si>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</si>
  <si>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</si>
  <si>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</si>
  <si>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</si>
  <si>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</si>
  <si>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</si>
  <si>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</si>
  <si>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</si>
  <si>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</si>
  <si>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</si>
  <si>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</si>
  <si>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</si>
  <si>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</si>
  <si>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</si>
  <si>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</si>
  <si>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</si>
  <si>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</si>
  <si>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</si>
  <si>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</si>
  <si>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</si>
  <si>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</si>
  <si>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</si>
  <si>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</si>
  <si>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</si>
  <si>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</si>
  <si>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</si>
  <si>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</si>
  <si>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</si>
  <si>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</si>
  <si>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</si>
  <si>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</si>
  <si>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</si>
  <si>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</si>
  <si>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</si>
  <si>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</si>
  <si>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</si>
  <si>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</si>
  <si>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</si>
  <si>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</si>
  <si>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</si>
  <si>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</si>
  <si>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</si>
  <si>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</si>
  <si>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</si>
  <si>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</si>
  <si>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</si>
  <si>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</si>
  <si>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</si>
  <si>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</si>
  <si>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</si>
  <si>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</si>
  <si>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</si>
  <si>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</si>
  <si>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</si>
  <si>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</si>
  <si>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</si>
  <si>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</si>
  <si>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</si>
  <si>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</si>
  <si>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</si>
  <si>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</si>
  <si>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</si>
  <si>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</si>
  <si>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</si>
  <si>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</si>
  <si>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</si>
  <si>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</si>
  <si>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</si>
  <si>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</si>
  <si>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</si>
  <si>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</si>
  <si>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</si>
  <si>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</si>
  <si>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</si>
  <si>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</si>
  <si>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</si>
  <si>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</si>
  <si>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</si>
  <si>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</si>
  <si>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</si>
  <si>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</si>
  <si>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</si>
  <si>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</si>
  <si>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</si>
  <si>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</si>
  <si>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</si>
  <si>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</si>
  <si>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</si>
  <si>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</si>
  <si>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</si>
  <si>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</si>
  <si>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</si>
  <si>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</si>
  <si>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</si>
  <si>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</si>
  <si>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</si>
  <si>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</si>
  <si>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</si>
  <si>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</si>
  <si>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</si>
  <si>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</si>
  <si>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</si>
  <si>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</si>
  <si>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</si>
  <si>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</si>
  <si>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</si>
  <si>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</si>
  <si>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</si>
  <si>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</si>
  <si>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</si>
  <si>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</si>
  <si>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</si>
  <si>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</si>
  <si>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</si>
  <si>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</si>
  <si>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</si>
  <si>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</si>
  <si>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</si>
  <si>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</si>
  <si>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</si>
  <si>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</si>
  <si>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</si>
  <si>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</si>
  <si>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</si>
  <si>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</si>
  <si>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</si>
  <si>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</si>
  <si>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</si>
  <si>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</si>
  <si>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</si>
  <si>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</si>
  <si>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</si>
  <si>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</si>
  <si>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</si>
  <si>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</si>
  <si>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</si>
  <si>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</si>
  <si>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</si>
  <si>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</si>
  <si>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</si>
  <si>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</si>
  <si>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</si>
  <si>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</si>
  <si>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</si>
  <si>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</si>
  <si>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</si>
  <si>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</si>
  <si>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</si>
  <si>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</si>
  <si>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</si>
  <si>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</si>
  <si>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</si>
  <si>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</si>
  <si>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</si>
  <si>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</si>
  <si>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</si>
  <si>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</si>
  <si>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</si>
  <si>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</si>
  <si>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</si>
  <si>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</si>
  <si>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</si>
  <si>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</si>
  <si>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</si>
  <si>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</si>
  <si>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</si>
  <si>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</si>
  <si>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</si>
  <si>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</si>
  <si>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</si>
  <si>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</si>
  <si>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</si>
  <si>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</si>
  <si>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</si>
  <si>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</si>
  <si>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</si>
  <si>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</si>
  <si>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</si>
  <si>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</si>
  <si>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</si>
  <si>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</si>
  <si>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</si>
  <si>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</si>
  <si>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</si>
  <si>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</si>
  <si>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</si>
  <si>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</si>
  <si>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</si>
  <si>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</si>
  <si>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</si>
  <si>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</si>
  <si>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</si>
  <si>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</si>
  <si>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</si>
  <si>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</si>
  <si>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</si>
  <si>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</si>
  <si>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</si>
  <si>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</si>
  <si>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</si>
  <si>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</si>
  <si>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</si>
  <si>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</si>
  <si>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</si>
  <si>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</si>
  <si>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</si>
  <si>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</si>
  <si>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</si>
  <si>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</si>
  <si>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</si>
  <si>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</si>
  <si>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</si>
  <si>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</si>
  <si>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</si>
  <si>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</si>
  <si>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</si>
  <si>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</si>
  <si>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</si>
  <si>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</si>
  <si>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</si>
  <si>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</si>
  <si>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</si>
  <si>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</si>
  <si>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</si>
  <si>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</si>
  <si>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</si>
  <si>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</si>
  <si>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</si>
  <si>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</si>
  <si>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</si>
  <si>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</si>
  <si>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</si>
  <si>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</si>
  <si>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</si>
  <si>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</si>
  <si>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</si>
  <si>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</si>
  <si>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</si>
  <si>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</si>
  <si>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</si>
  <si>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</si>
  <si>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</si>
  <si>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</si>
  <si>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</si>
  <si>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</si>
  <si>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</si>
  <si>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</si>
  <si>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</si>
  <si>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</si>
  <si>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</si>
  <si>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</si>
  <si>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</si>
  <si>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</si>
  <si>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</si>
  <si>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</si>
  <si>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</si>
  <si>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</si>
  <si>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</si>
  <si>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</si>
  <si>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</si>
  <si>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</si>
  <si>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</si>
  <si>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</si>
  <si>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</si>
  <si>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</si>
  <si>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</si>
  <si>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</si>
  <si>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</si>
  <si>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</si>
  <si>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</si>
  <si>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</si>
  <si>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</si>
  <si>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</si>
  <si>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</si>
  <si>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</si>
  <si>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</si>
  <si>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</si>
  <si>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</si>
  <si>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</si>
  <si>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</si>
  <si>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</si>
  <si>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</si>
  <si>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</si>
  <si>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</si>
  <si>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</si>
  <si>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</si>
  <si>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</si>
  <si>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</si>
  <si>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</si>
  <si>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</si>
  <si>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</si>
  <si>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</si>
  <si>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</si>
  <si>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</si>
  <si>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</si>
  <si>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</si>
  <si>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</si>
  <si>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</si>
  <si>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</si>
  <si>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</si>
  <si>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</si>
  <si>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</si>
  <si>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</si>
  <si>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</si>
  <si>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</si>
  <si>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</si>
  <si>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</si>
  <si>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</si>
  <si>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</si>
  <si>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</si>
  <si>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</si>
  <si>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</si>
  <si>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</si>
  <si>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</si>
  <si>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</si>
  <si>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</si>
  <si>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</si>
  <si>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</si>
  <si>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</si>
  <si>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</si>
  <si>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</si>
  <si>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</si>
  <si>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</si>
  <si>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</si>
  <si>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</si>
  <si>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</si>
  <si>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</si>
  <si>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</si>
  <si>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</si>
  <si>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</si>
  <si>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</si>
  <si>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</si>
  <si>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</si>
  <si>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</si>
  <si>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</si>
  <si>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</si>
  <si>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</si>
  <si>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</si>
  <si>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</si>
  <si>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</si>
  <si>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</si>
  <si>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</si>
  <si>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</si>
  <si>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</si>
  <si>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</si>
  <si>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</si>
  <si>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</si>
  <si>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</si>
  <si>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</si>
  <si>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</si>
  <si>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</si>
  <si>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</si>
  <si>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</si>
  <si>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</si>
  <si>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</si>
  <si>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</si>
  <si>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</si>
  <si>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</si>
  <si>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</si>
  <si>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</si>
  <si>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</si>
  <si>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</si>
  <si>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</si>
  <si>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</si>
  <si>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</si>
  <si>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</si>
  <si>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</si>
  <si>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</si>
  <si>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</si>
  <si>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</si>
  <si>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</si>
  <si>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</si>
  <si>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</si>
  <si>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</si>
  <si>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</si>
  <si>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</si>
  <si>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</si>
  <si>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</si>
  <si>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</si>
  <si>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</si>
  <si>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</si>
  <si>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</si>
  <si>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</si>
  <si>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</si>
  <si>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</si>
  <si>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</si>
  <si>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</si>
  <si>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</si>
  <si>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</si>
  <si>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</si>
  <si>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</si>
  <si>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</si>
  <si>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</si>
  <si>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</si>
  <si>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</si>
  <si>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</si>
  <si>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</si>
  <si>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</si>
  <si>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</si>
  <si>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</si>
  <si>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</si>
  <si>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</si>
  <si>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</si>
  <si>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</si>
  <si>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</si>
  <si>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</si>
  <si>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</si>
  <si>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</si>
  <si>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</si>
  <si>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</si>
  <si>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</si>
  <si>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</si>
  <si>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</si>
  <si>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</si>
  <si>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</si>
  <si>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</si>
  <si>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</si>
  <si>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</si>
  <si>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</si>
  <si>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</si>
  <si>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</si>
  <si>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</si>
  <si>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</si>
  <si>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</si>
  <si>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</si>
  <si>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</si>
  <si>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</si>
  <si>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</si>
  <si>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</si>
  <si>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</si>
  <si>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</si>
  <si>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</si>
  <si>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</si>
  <si>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</si>
  <si>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</si>
  <si>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</si>
  <si>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</si>
  <si>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</si>
  <si>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</si>
  <si>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</si>
  <si>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</si>
  <si>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</si>
  <si>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</si>
  <si>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</si>
  <si>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</si>
  <si>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</si>
  <si>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</si>
  <si>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</si>
  <si>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</si>
  <si>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</si>
  <si>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</si>
  <si>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</si>
  <si>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</si>
  <si>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</si>
  <si>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</si>
  <si>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</si>
  <si>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</si>
  <si>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</si>
  <si>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</si>
  <si>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</si>
  <si>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</si>
  <si>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</si>
  <si>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</si>
  <si>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</si>
  <si>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</si>
  <si>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</si>
  <si>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</si>
  <si>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</si>
  <si>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</si>
  <si>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</si>
  <si>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</si>
  <si>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</si>
  <si>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</si>
  <si>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</si>
  <si>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</si>
  <si>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</si>
  <si>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</si>
  <si>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</si>
  <si>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</si>
  <si>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</si>
  <si>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</si>
  <si>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</si>
  <si>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</si>
  <si>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</si>
  <si>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</si>
  <si>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</si>
  <si>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</si>
  <si>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</si>
  <si>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</si>
  <si>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</si>
  <si>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</si>
  <si>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</si>
  <si>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</si>
  <si>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</si>
  <si>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</si>
  <si>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</si>
  <si>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</si>
  <si>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</si>
  <si>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</si>
  <si>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</si>
  <si>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</si>
  <si>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</si>
  <si>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</si>
  <si>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</si>
  <si>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</si>
  <si>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</si>
  <si>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</si>
  <si>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</si>
  <si>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</si>
  <si>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</si>
  <si>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</si>
  <si>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</si>
  <si>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</si>
  <si>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</si>
  <si>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</si>
  <si>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</si>
  <si>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</si>
  <si>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</si>
  <si>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</si>
  <si>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</si>
  <si>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</si>
  <si>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</si>
  <si>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</si>
  <si>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</si>
  <si>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</si>
  <si>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</si>
  <si>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</si>
  <si>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</si>
  <si>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</si>
  <si>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</si>
  <si>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</si>
  <si>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</si>
  <si>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</si>
  <si>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</si>
  <si>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</si>
  <si>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</si>
  <si>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</si>
  <si>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</si>
  <si>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</si>
  <si>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</si>
  <si>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</si>
  <si>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</si>
  <si>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</si>
  <si>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</si>
  <si>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</si>
  <si>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</si>
  <si>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</si>
  <si>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</si>
  <si>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</si>
  <si>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</si>
  <si>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</si>
  <si>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</si>
  <si>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</si>
  <si>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</si>
  <si>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</si>
  <si>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</si>
  <si>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</si>
  <si>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</si>
  <si>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</si>
  <si>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</si>
  <si>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</si>
  <si>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</si>
  <si>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</si>
  <si>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</si>
  <si>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</si>
  <si>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</si>
  <si>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</si>
  <si>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</si>
  <si>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</si>
  <si>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</si>
  <si>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</si>
  <si>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</si>
  <si>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</si>
  <si>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</si>
  <si>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</si>
  <si>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</si>
  <si>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</si>
  <si>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</si>
  <si>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</si>
  <si>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</si>
  <si>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</si>
  <si>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</si>
  <si>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</si>
  <si>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</si>
  <si>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</si>
  <si>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</si>
  <si>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</si>
  <si>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</si>
  <si>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</si>
  <si>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</si>
  <si>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</si>
  <si>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</si>
  <si>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</si>
  <si>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</si>
  <si>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</si>
  <si>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</si>
  <si>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</si>
  <si>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</si>
  <si>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</si>
  <si>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</si>
  <si>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</si>
  <si>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</si>
  <si>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</si>
  <si>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</si>
  <si>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</si>
  <si>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</si>
  <si>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</si>
  <si>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</si>
  <si>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</si>
  <si>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</si>
  <si>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</si>
  <si>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</si>
  <si>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</si>
  <si>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</si>
  <si>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</si>
  <si>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</si>
  <si>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</si>
  <si>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</si>
  <si>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</si>
  <si>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</si>
  <si>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</si>
  <si>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</si>
  <si>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</si>
  <si>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</si>
  <si>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</si>
  <si>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</si>
  <si>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</si>
  <si>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</si>
  <si>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</si>
  <si>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</si>
  <si>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</si>
  <si>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</si>
  <si>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</si>
  <si>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</si>
  <si>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</si>
  <si>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</si>
  <si>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</si>
  <si>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</si>
  <si>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</si>
  <si>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</si>
  <si>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</si>
  <si>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</si>
  <si>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</si>
  <si>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</si>
  <si>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</si>
  <si>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</si>
  <si>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</si>
  <si>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</si>
  <si>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</si>
  <si>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</si>
  <si>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</si>
  <si>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</si>
  <si>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</si>
  <si>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</si>
  <si>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</si>
  <si>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</si>
  <si>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</si>
  <si>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</si>
  <si>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</si>
  <si>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</si>
  <si>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</si>
  <si>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</si>
  <si>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</si>
  <si>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</si>
  <si>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</si>
  <si>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</si>
  <si>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</si>
  <si>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</si>
  <si>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</si>
  <si>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</si>
  <si>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</si>
  <si>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</si>
  <si>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</si>
  <si>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</si>
  <si>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</si>
  <si>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</si>
  <si>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</si>
  <si>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</si>
  <si>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</si>
  <si>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</si>
  <si>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</si>
  <si>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</si>
  <si>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</si>
  <si>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</si>
  <si>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</si>
  <si>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</si>
  <si>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</si>
  <si>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</si>
  <si>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</si>
  <si>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</si>
  <si>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</si>
  <si>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</si>
  <si>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</si>
  <si>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</si>
  <si>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</si>
  <si>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</si>
  <si>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</si>
  <si>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</si>
  <si>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</si>
  <si>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</si>
  <si>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</si>
  <si>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</si>
  <si>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</si>
  <si>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</si>
  <si>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</si>
  <si>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</si>
  <si>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</si>
  <si>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</si>
  <si>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</si>
  <si>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</si>
  <si>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</si>
  <si>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</si>
  <si>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</si>
  <si>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</si>
  <si>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</si>
  <si>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</si>
  <si>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</si>
  <si>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</si>
  <si>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</si>
  <si>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</si>
  <si>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</si>
  <si>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</si>
  <si>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</si>
  <si>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</si>
  <si>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</si>
  <si>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</si>
  <si>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</si>
  <si>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</si>
  <si>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</si>
  <si>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</si>
  <si>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</si>
  <si>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</si>
  <si>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</si>
  <si>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</si>
  <si>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</si>
  <si>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</si>
  <si>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</si>
  <si>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</si>
  <si>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</si>
  <si>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</si>
  <si>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</si>
  <si>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</si>
  <si>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</si>
  <si>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</si>
  <si>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</si>
  <si>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</si>
  <si>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</si>
  <si>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</si>
  <si>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</si>
  <si>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</si>
  <si>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</si>
  <si>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</si>
  <si>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</si>
  <si>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</si>
  <si>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</si>
  <si>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</si>
  <si>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</si>
  <si>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</si>
  <si>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</si>
  <si>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</si>
  <si>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</si>
  <si>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</si>
  <si>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</si>
  <si>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</si>
  <si>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</si>
  <si>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</si>
  <si>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</si>
  <si>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</si>
  <si>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</si>
  <si>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</si>
  <si>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</si>
  <si>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</si>
  <si>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</si>
  <si>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</si>
  <si>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</si>
  <si>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</si>
  <si>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</si>
  <si>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</si>
  <si>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</si>
  <si>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</si>
  <si>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</si>
  <si>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</si>
  <si>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</si>
  <si>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</si>
  <si>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</si>
  <si>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</si>
  <si>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</si>
  <si>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</si>
  <si>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</si>
  <si>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</si>
  <si>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</si>
  <si>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</si>
  <si>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</si>
  <si>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</si>
  <si>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</si>
  <si>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</si>
  <si>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</si>
  <si>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</si>
  <si>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</si>
  <si>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</si>
  <si>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</si>
  <si>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</si>
  <si>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</si>
  <si>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</si>
  <si>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</si>
  <si>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</si>
  <si>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</si>
  <si>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</si>
  <si>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</si>
  <si>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</si>
  <si>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</si>
  <si>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</si>
  <si>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</si>
  <si>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</si>
  <si>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</si>
  <si>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</si>
  <si>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</si>
  <si>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</si>
  <si>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</si>
  <si>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</si>
  <si>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</si>
  <si>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</si>
  <si>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</si>
  <si>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</si>
  <si>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</si>
  <si>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</si>
  <si>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</si>
  <si>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</si>
  <si>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</si>
  <si>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</si>
  <si>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</si>
  <si>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</si>
  <si>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</si>
  <si>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</si>
  <si>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</si>
  <si>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</si>
  <si>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</si>
  <si>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</si>
  <si>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</si>
  <si>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</si>
  <si>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</si>
  <si>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</si>
  <si>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</si>
  <si>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</si>
  <si>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</si>
  <si>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</si>
  <si>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</si>
  <si>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</si>
  <si>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</si>
  <si>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</si>
  <si>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</si>
  <si>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</si>
  <si>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</si>
  <si>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</si>
  <si>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</si>
  <si>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</si>
  <si>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</si>
  <si>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</si>
  <si>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</si>
  <si>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</si>
  <si>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</si>
  <si>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</si>
  <si>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</si>
  <si>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</si>
  <si>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</si>
  <si>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</si>
  <si>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</si>
  <si>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</si>
  <si>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</si>
  <si>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</si>
  <si>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</si>
  <si>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</si>
  <si>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</si>
  <si>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</si>
  <si>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</si>
  <si>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</si>
  <si>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</si>
  <si>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</si>
  <si>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</si>
  <si>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</si>
  <si>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</si>
  <si>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</si>
  <si>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</si>
  <si>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</si>
  <si>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</si>
  <si>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</si>
  <si>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</si>
  <si>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</si>
  <si>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</si>
  <si>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</si>
  <si>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</si>
  <si>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</si>
  <si>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</si>
  <si>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</si>
  <si>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</si>
  <si>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</si>
  <si>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</si>
  <si>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</si>
  <si>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</si>
  <si>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</si>
  <si>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</si>
  <si>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</si>
  <si>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</si>
  <si>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</si>
  <si>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</si>
  <si>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</si>
  <si>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</si>
  <si>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</si>
  <si>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</si>
  <si>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</si>
  <si>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</si>
  <si>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</si>
  <si>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</si>
  <si>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</si>
  <si>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</si>
  <si>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</si>
  <si>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</si>
  <si>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</si>
  <si>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</si>
  <si>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</si>
  <si>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</si>
  <si>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</si>
  <si>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</si>
  <si>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</si>
  <si>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</si>
  <si>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</si>
  <si>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</si>
  <si>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</si>
  <si>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</si>
  <si>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</si>
  <si>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</si>
  <si>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</si>
  <si>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</si>
  <si>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</si>
  <si>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</si>
  <si>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</si>
  <si>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</si>
  <si>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</si>
  <si>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</si>
  <si>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</si>
  <si>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</si>
  <si>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</si>
  <si>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</si>
  <si>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</si>
  <si>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</si>
  <si>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</si>
  <si>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</si>
  <si>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</si>
  <si>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</si>
  <si>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</si>
  <si>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</si>
  <si>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</si>
  <si>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</si>
  <si>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</si>
  <si>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</si>
  <si>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</si>
  <si>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</si>
  <si>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</si>
  <si>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</si>
  <si>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</si>
  <si>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</si>
  <si>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</si>
  <si>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</si>
  <si>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</si>
  <si>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</si>
  <si>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</si>
  <si>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</si>
  <si>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</si>
  <si>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</si>
  <si>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</si>
  <si>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</si>
  <si>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</si>
  <si>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</si>
  <si>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</si>
  <si>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</si>
  <si>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</si>
  <si>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</si>
  <si>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</si>
  <si>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</si>
  <si>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</si>
  <si>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</si>
  <si>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</si>
  <si>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</si>
  <si>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</si>
  <si>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</si>
  <si>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</si>
  <si>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</si>
  <si>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</si>
  <si>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</si>
  <si>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</si>
  <si>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</si>
  <si>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</si>
  <si>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</si>
  <si>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</si>
  <si>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</si>
  <si>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</si>
  <si>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</si>
  <si>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</si>
  <si>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</si>
  <si>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</si>
  <si>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</si>
  <si>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</si>
  <si>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</si>
  <si>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</si>
  <si>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</si>
  <si>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</si>
  <si>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</si>
  <si>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</si>
  <si>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</si>
  <si>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</si>
  <si>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</si>
  <si>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</si>
  <si>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</si>
  <si>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</si>
  <si>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</si>
  <si>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</si>
  <si>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</si>
  <si>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</si>
  <si>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</si>
  <si>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</si>
  <si>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</si>
  <si>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</si>
  <si>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</si>
  <si>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</si>
  <si>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</si>
  <si>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</si>
  <si>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</si>
  <si>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</si>
  <si>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</si>
  <si>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</si>
  <si>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</si>
  <si>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</si>
  <si>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</si>
  <si>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</si>
  <si>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</si>
  <si>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</si>
  <si>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</si>
  <si>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</si>
  <si>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</si>
  <si>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</si>
  <si>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</si>
  <si>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</si>
  <si>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</si>
  <si>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</si>
  <si>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</si>
  <si>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</si>
  <si>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</si>
  <si>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</si>
  <si>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</si>
  <si>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</si>
  <si>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</si>
  <si>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</si>
  <si>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</si>
  <si>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</si>
  <si>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</si>
  <si>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</si>
  <si>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</si>
  <si>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</si>
  <si>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</si>
  <si>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</si>
  <si>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</si>
  <si>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</si>
  <si>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</si>
  <si>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</si>
  <si>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</si>
  <si>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</si>
  <si>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</si>
  <si>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</si>
  <si>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</si>
  <si>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</si>
  <si>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</si>
  <si>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</si>
  <si>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</si>
  <si>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</si>
  <si>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</si>
  <si>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</si>
  <si>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</si>
  <si>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</si>
  <si>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</si>
  <si>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</si>
  <si>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</si>
  <si>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</si>
  <si>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</si>
  <si>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</si>
  <si>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</si>
  <si>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</si>
  <si>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</si>
  <si>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</si>
  <si>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</si>
  <si>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</si>
  <si>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</si>
  <si>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</si>
  <si>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</si>
  <si>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</si>
  <si>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</si>
  <si>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</si>
  <si>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</si>
  <si>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</si>
  <si>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</si>
  <si>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</si>
  <si>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</si>
  <si>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</si>
  <si>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</si>
  <si>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</si>
  <si>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</si>
  <si>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</si>
  <si>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</si>
  <si>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</si>
  <si>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</si>
  <si>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</si>
  <si>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</si>
  <si>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</si>
  <si>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</si>
  <si>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</si>
  <si>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</si>
  <si>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</si>
  <si>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</si>
  <si>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</si>
  <si>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</si>
  <si>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</si>
  <si>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</si>
  <si>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</si>
  <si>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</si>
  <si>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</si>
  <si>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</si>
  <si>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</si>
  <si>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</si>
  <si>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</si>
  <si>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</si>
  <si>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</si>
  <si>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</si>
  <si>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</si>
  <si>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</si>
  <si>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</si>
  <si>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</si>
  <si>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</si>
  <si>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</si>
  <si>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</si>
  <si>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</si>
  <si>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</si>
  <si>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</si>
  <si>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</si>
  <si>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</si>
  <si>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</si>
  <si>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</si>
  <si>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</si>
  <si>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</si>
  <si>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</si>
  <si>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</si>
  <si>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</si>
  <si>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</si>
  <si>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</si>
  <si>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</si>
  <si>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</si>
  <si>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</si>
  <si>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</si>
  <si>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</si>
  <si>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</si>
  <si>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</si>
  <si>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</si>
  <si>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</si>
  <si>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</si>
  <si>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</si>
  <si>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</si>
  <si>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</si>
  <si>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</si>
  <si>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</si>
  <si>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</si>
  <si>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</si>
  <si>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</si>
  <si>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</si>
  <si>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</si>
  <si>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</si>
  <si>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</si>
  <si>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</si>
  <si>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</si>
  <si>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</si>
  <si>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</si>
  <si>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</si>
  <si>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</si>
  <si>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</si>
  <si>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</si>
  <si>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</si>
  <si>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</si>
  <si>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</si>
  <si>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</si>
  <si>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</si>
  <si>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</si>
  <si>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</si>
  <si>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</si>
  <si>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</si>
  <si>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</si>
  <si>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</si>
  <si>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</si>
  <si>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</si>
  <si>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</si>
  <si>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</si>
  <si>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</si>
  <si>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</si>
  <si>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</si>
  <si>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</si>
  <si>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</si>
  <si>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</si>
  <si>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</si>
  <si>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</si>
  <si>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</si>
  <si>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</si>
  <si>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</si>
  <si>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</si>
  <si>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</si>
  <si>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</si>
  <si>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</si>
  <si>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</si>
  <si>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</si>
  <si>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</si>
  <si>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</si>
  <si>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</si>
  <si>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</si>
  <si>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</si>
  <si>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</si>
  <si>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</si>
  <si>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</si>
  <si>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</si>
  <si>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</si>
  <si>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</si>
  <si>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</si>
  <si>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</si>
  <si>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</si>
  <si>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</si>
  <si>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</si>
  <si>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</si>
  <si>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</si>
  <si>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</si>
  <si>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</si>
  <si>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</si>
  <si>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</si>
  <si>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</si>
  <si>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</si>
  <si>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</si>
  <si>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</si>
  <si>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</si>
  <si>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</si>
  <si>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</si>
  <si>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</si>
  <si>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</si>
  <si>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</si>
  <si>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</si>
  <si>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</si>
  <si>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</si>
  <si>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</si>
  <si>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</si>
  <si>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</si>
  <si>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</si>
  <si>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</si>
  <si>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</si>
  <si>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</si>
  <si>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</si>
  <si>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</si>
  <si>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</si>
  <si>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</si>
  <si>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</si>
  <si>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</si>
  <si>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</si>
  <si>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</si>
  <si>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</si>
  <si>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</si>
  <si>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</si>
  <si>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</si>
  <si>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</si>
  <si>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</si>
  <si>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</si>
  <si>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</si>
  <si>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</si>
  <si>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</si>
  <si>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</si>
  <si>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</si>
  <si>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</si>
  <si>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</si>
  <si>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</si>
  <si>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</si>
  <si>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</si>
  <si>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</si>
  <si>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</si>
  <si>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</si>
  <si>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</si>
  <si>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</si>
  <si>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</si>
  <si>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</si>
  <si>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</si>
  <si>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</si>
  <si>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</si>
  <si>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</si>
  <si>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</si>
  <si>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</si>
  <si>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</si>
  <si>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</si>
  <si>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</si>
  <si>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</si>
  <si>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</si>
  <si>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</si>
  <si>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</si>
  <si>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</si>
  <si>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</si>
  <si>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</si>
  <si>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</si>
  <si>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</si>
  <si>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</si>
  <si>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</si>
  <si>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</si>
  <si>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</si>
  <si>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</si>
  <si>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</si>
  <si>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</si>
  <si>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</si>
  <si>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</si>
  <si>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</si>
  <si>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</si>
  <si>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</si>
  <si>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</si>
  <si>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</si>
  <si>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</si>
  <si>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</si>
  <si>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</si>
  <si>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</si>
  <si>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</si>
  <si>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</si>
  <si>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</si>
  <si>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</si>
  <si>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</si>
  <si>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</si>
  <si>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</si>
  <si>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</si>
  <si>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</si>
  <si>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</si>
  <si>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</si>
  <si>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</si>
  <si>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</si>
  <si>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</si>
  <si>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</si>
  <si>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</si>
  <si>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</si>
  <si>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</si>
  <si>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</si>
  <si>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</si>
  <si>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</si>
  <si>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</si>
  <si>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</si>
  <si>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</si>
  <si>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</si>
  <si>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</si>
  <si>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</si>
  <si>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</si>
  <si>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</si>
  <si>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</si>
  <si>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</si>
  <si>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</si>
  <si>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</si>
  <si>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</si>
  <si>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</si>
  <si>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</si>
  <si>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</si>
  <si>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</si>
  <si>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</si>
  <si>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</si>
  <si>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</si>
  <si>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</si>
  <si>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</si>
  <si>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</si>
  <si>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</si>
  <si>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</si>
  <si>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</si>
  <si>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</si>
  <si>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</si>
  <si>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</si>
  <si>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</si>
  <si>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</si>
  <si>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</si>
  <si>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</si>
  <si>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</si>
  <si>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</si>
  <si>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</si>
  <si>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</si>
  <si>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</si>
  <si>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</si>
  <si>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</si>
  <si>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</si>
  <si>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</si>
  <si>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</si>
  <si>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</si>
  <si>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</si>
  <si>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</si>
  <si>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</si>
  <si>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</si>
  <si>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</si>
  <si>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</si>
  <si>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</si>
  <si>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</si>
  <si>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</si>
  <si>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</si>
  <si>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</si>
  <si>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</si>
  <si>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</si>
  <si>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</si>
  <si>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</si>
  <si>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</si>
  <si>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</si>
  <si>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</si>
  <si>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</si>
  <si>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</si>
  <si>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</si>
  <si>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</si>
  <si>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</si>
  <si>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</si>
  <si>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</si>
  <si>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</si>
  <si>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</si>
  <si>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</si>
  <si>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</si>
  <si>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</si>
  <si>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</si>
  <si>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</si>
  <si>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</si>
  <si>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</si>
  <si>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</si>
  <si>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</si>
  <si>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</si>
  <si>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</si>
  <si>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</si>
  <si>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</si>
  <si>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</si>
  <si>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</si>
  <si>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</si>
  <si>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</si>
  <si>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</si>
  <si>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</si>
  <si>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</si>
  <si>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</si>
  <si>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</si>
  <si>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</si>
  <si>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</si>
  <si>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</si>
  <si>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</si>
  <si>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</si>
  <si>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</si>
  <si>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</si>
  <si>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</si>
  <si>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</si>
  <si>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</si>
  <si>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</si>
  <si>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</si>
  <si>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</si>
  <si>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</si>
  <si>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</si>
  <si>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</si>
  <si>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</si>
  <si>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</si>
  <si>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</si>
  <si>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</si>
  <si>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</si>
  <si>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</si>
  <si>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</si>
  <si>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</si>
  <si>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</si>
  <si>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</si>
  <si>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</si>
  <si>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</si>
  <si>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</si>
  <si>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</si>
  <si>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</si>
  <si>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</si>
  <si>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</si>
  <si>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</si>
  <si>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</si>
  <si>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</si>
  <si>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</si>
  <si>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</si>
  <si>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</si>
  <si>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</si>
  <si>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</si>
  <si>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</si>
  <si>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</si>
  <si>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</si>
  <si>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</si>
  <si>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</si>
  <si>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</si>
  <si>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</si>
  <si>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</si>
  <si>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</si>
  <si>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</si>
  <si>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</si>
  <si>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</si>
  <si>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</si>
  <si>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</si>
  <si>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</si>
  <si>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</si>
  <si>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</si>
  <si>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</si>
  <si>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</si>
  <si>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</si>
  <si>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</si>
  <si>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</si>
  <si>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</si>
  <si>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</si>
  <si>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</si>
  <si>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</si>
  <si>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</si>
  <si>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</si>
  <si>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</si>
  <si>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</si>
  <si>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</si>
  <si>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</si>
  <si>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</si>
  <si>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</si>
  <si>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</si>
  <si>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</si>
  <si>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</si>
  <si>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</si>
  <si>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</si>
  <si>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</si>
  <si>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</si>
  <si>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</si>
  <si>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</si>
  <si>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</si>
  <si>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</si>
  <si>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</si>
  <si>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</si>
  <si>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</si>
  <si>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</si>
  <si>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</si>
  <si>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</si>
  <si>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</si>
  <si>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</si>
  <si>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</si>
  <si>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</si>
  <si>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</si>
  <si>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</si>
  <si>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</si>
  <si>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</si>
  <si>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</si>
  <si>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</si>
  <si>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</si>
  <si>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</si>
  <si>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</si>
  <si>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</si>
  <si>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</si>
  <si>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</si>
  <si>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</si>
  <si>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</si>
  <si>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</si>
  <si>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</si>
  <si>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</si>
  <si>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</si>
  <si>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</si>
  <si>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</si>
  <si>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</si>
  <si>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</si>
  <si>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</si>
  <si>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</si>
  <si>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</si>
  <si>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</si>
  <si>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</si>
  <si>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</si>
  <si>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</si>
  <si>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</si>
  <si>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</si>
  <si>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</si>
  <si>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</si>
  <si>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</si>
  <si>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</si>
  <si>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</si>
  <si>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</si>
  <si>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</si>
  <si>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</si>
  <si>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</si>
  <si>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</si>
  <si>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</si>
  <si>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</si>
  <si>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</si>
  <si>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</si>
  <si>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</si>
  <si>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</si>
  <si>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</si>
  <si>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</si>
  <si>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</si>
  <si>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</si>
  <si>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</si>
  <si>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</si>
  <si>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</si>
  <si>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</si>
  <si>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</si>
  <si>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</si>
  <si>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</si>
  <si>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</si>
  <si>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</si>
  <si>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</si>
  <si>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</si>
  <si>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</si>
  <si>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</si>
  <si>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</si>
  <si>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</si>
  <si>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</si>
  <si>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</si>
  <si>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</si>
  <si>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</si>
  <si>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</si>
  <si>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</si>
  <si>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</si>
  <si>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</si>
  <si>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</si>
  <si>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</si>
  <si>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</si>
  <si>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</si>
  <si>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</si>
  <si>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</si>
  <si>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</si>
  <si>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</si>
  <si>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</si>
  <si>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</si>
  <si>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</si>
  <si>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</si>
  <si>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</si>
  <si>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</si>
  <si>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</si>
  <si>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</si>
  <si>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</si>
  <si>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</si>
  <si>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</si>
  <si>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</si>
  <si>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</si>
  <si>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</si>
  <si>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</si>
  <si>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</si>
  <si>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</si>
  <si>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</si>
  <si>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</si>
  <si>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</si>
  <si>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</si>
  <si>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</si>
  <si>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</si>
  <si>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</si>
  <si>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</si>
  <si>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</si>
  <si>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</si>
  <si>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</si>
  <si>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</si>
  <si>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</si>
  <si>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</si>
  <si>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</si>
  <si>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</si>
  <si>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</si>
  <si>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</si>
  <si>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</si>
  <si>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</si>
  <si>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</si>
  <si>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</si>
  <si>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</si>
  <si>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</si>
  <si>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</si>
  <si>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</si>
  <si>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</si>
  <si>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</si>
  <si>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</si>
  <si>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</si>
  <si>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</si>
  <si>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</si>
  <si>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</si>
  <si>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</si>
  <si>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</si>
  <si>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</si>
  <si>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</si>
  <si>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</si>
  <si>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</si>
  <si>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</si>
  <si>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</si>
  <si>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</si>
  <si>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</si>
  <si>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</si>
  <si>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</si>
  <si>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</si>
  <si>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</si>
  <si>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</si>
  <si>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</si>
  <si>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</si>
  <si>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</si>
  <si>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</si>
  <si>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</si>
  <si>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</si>
  <si>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</si>
  <si>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</si>
  <si>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</si>
  <si>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</si>
  <si>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</si>
  <si>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</si>
  <si>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</si>
  <si>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</si>
  <si>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</si>
  <si>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</si>
  <si>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</si>
  <si>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</si>
  <si>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</si>
  <si>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</si>
  <si>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</si>
  <si>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</si>
  <si>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</si>
  <si>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</si>
  <si>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</si>
  <si>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</si>
  <si>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</si>
  <si>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</si>
  <si>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</si>
  <si>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</si>
  <si>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</si>
  <si>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</si>
  <si>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</si>
  <si>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</si>
  <si>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</si>
  <si>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</si>
  <si>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</si>
  <si>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</si>
  <si>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</si>
  <si>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</si>
  <si>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</si>
  <si>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</si>
  <si>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</si>
  <si>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</si>
  <si>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</si>
  <si>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</si>
  <si>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</si>
  <si>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</si>
  <si>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</si>
  <si>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</si>
  <si>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</si>
  <si>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</si>
  <si>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</si>
  <si>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</si>
  <si>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</si>
  <si>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</si>
  <si>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</si>
  <si>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</si>
  <si>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</si>
  <si>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</si>
  <si>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</si>
  <si>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</si>
  <si>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</si>
  <si>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</si>
  <si>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</si>
  <si>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</si>
  <si>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</si>
  <si>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</si>
  <si>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</si>
  <si>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</si>
  <si>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</si>
  <si>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</si>
  <si>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</si>
  <si>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</si>
  <si>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</si>
  <si>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</si>
  <si>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</si>
  <si>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</si>
  <si>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</si>
  <si>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</si>
  <si>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</si>
  <si>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</si>
  <si>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</si>
  <si>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</si>
  <si>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</si>
  <si>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</si>
  <si>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</si>
  <si>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</si>
  <si>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</si>
  <si>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</si>
  <si>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</si>
  <si>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</si>
  <si>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</si>
  <si>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</si>
  <si>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</si>
  <si>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</si>
  <si>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</si>
  <si>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</si>
  <si>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</si>
  <si>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</si>
  <si>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</si>
  <si>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</si>
  <si>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</si>
  <si>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</si>
  <si>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</si>
  <si>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</si>
  <si>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</si>
  <si>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</si>
  <si>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</si>
  <si>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</si>
  <si>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</si>
  <si>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</si>
  <si>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</si>
  <si>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</si>
  <si>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</si>
  <si>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</si>
  <si>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</si>
  <si>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</si>
  <si>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</si>
  <si>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</si>
  <si>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</si>
  <si>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</si>
  <si>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</si>
  <si>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</si>
  <si>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</si>
  <si>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</si>
  <si>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</si>
  <si>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</si>
  <si>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</si>
  <si>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</si>
  <si>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</si>
  <si>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</si>
  <si>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</si>
  <si>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</si>
  <si>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</si>
  <si>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</si>
  <si>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</si>
  <si>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</si>
  <si>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</si>
  <si>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</si>
  <si>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</si>
  <si>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</si>
  <si>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</si>
  <si>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</si>
  <si>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</si>
  <si>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</si>
  <si>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</si>
  <si>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</si>
  <si>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</si>
  <si>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</si>
  <si>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</si>
  <si>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</si>
  <si>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</si>
  <si>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</si>
  <si>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</si>
  <si>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</si>
  <si>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</si>
  <si>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</si>
  <si>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</si>
  <si>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</si>
  <si>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</si>
  <si>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</si>
  <si>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</si>
  <si>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</si>
  <si>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</si>
  <si>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</si>
  <si>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</si>
  <si>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</si>
  <si>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</si>
  <si>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</si>
  <si>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</si>
  <si>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</si>
  <si>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</si>
  <si>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</si>
  <si>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</si>
  <si>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</si>
  <si>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</si>
  <si>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</si>
  <si>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</si>
  <si>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</si>
  <si>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</si>
  <si>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</si>
  <si>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</si>
  <si>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</si>
  <si>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</si>
  <si>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</si>
  <si>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</si>
  <si>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</si>
  <si>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</si>
  <si>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</si>
  <si>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</si>
  <si>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</si>
  <si>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</si>
  <si>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</si>
  <si>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</si>
  <si>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</si>
  <si>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</si>
  <si>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</si>
  <si>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</si>
  <si>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</si>
  <si>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</si>
  <si>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</si>
  <si>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</si>
  <si>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</si>
  <si>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</si>
  <si>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</si>
  <si>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</si>
  <si>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</si>
  <si>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</si>
  <si>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</si>
  <si>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</si>
  <si>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</si>
  <si>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</si>
  <si>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</si>
  <si>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</si>
  <si>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</si>
  <si>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</si>
  <si>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</si>
  <si>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</si>
  <si>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</si>
  <si>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</si>
  <si>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</si>
  <si>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</si>
  <si>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</si>
  <si>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</si>
  <si>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</si>
  <si>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</si>
  <si>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</si>
  <si>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</si>
  <si>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</si>
  <si>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</si>
  <si>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</si>
  <si>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</si>
  <si>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</si>
  <si>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</si>
  <si>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</si>
  <si>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</si>
  <si>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</si>
  <si>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</si>
  <si>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</si>
  <si>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</si>
  <si>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</si>
  <si>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</si>
  <si>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</si>
  <si>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</si>
  <si>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</si>
  <si>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</si>
  <si>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</si>
  <si>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</si>
  <si>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</si>
  <si>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</si>
  <si>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</si>
  <si>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</si>
  <si>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</si>
  <si>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</si>
  <si>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</si>
  <si>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</si>
  <si>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</si>
  <si>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</si>
  <si>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</si>
  <si>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</si>
  <si>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</si>
  <si>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</si>
  <si>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</si>
  <si>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</si>
  <si>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</si>
  <si>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</si>
  <si>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</si>
  <si>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</si>
  <si>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</si>
  <si>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</si>
  <si>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</si>
  <si>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</si>
  <si>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</si>
  <si>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</si>
  <si>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</si>
  <si>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</si>
  <si>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</si>
  <si>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</si>
  <si>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</si>
  <si>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</si>
  <si>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</si>
  <si>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</si>
  <si>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</si>
  <si>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</si>
  <si>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</si>
  <si>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</si>
  <si>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</si>
  <si>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</si>
  <si>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</si>
  <si>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</si>
  <si>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</si>
  <si>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</si>
  <si>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</si>
  <si>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</si>
  <si>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</si>
  <si>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</si>
  <si>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</si>
  <si>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</si>
  <si>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</si>
  <si>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</si>
  <si>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</si>
  <si>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</si>
  <si>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</si>
  <si>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</si>
  <si>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</si>
  <si>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</si>
  <si>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</si>
  <si>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</si>
  <si>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</si>
  <si>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</si>
  <si>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</si>
  <si>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</si>
  <si>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</si>
  <si>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</si>
  <si>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</si>
  <si>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</si>
  <si>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</si>
  <si>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</si>
  <si>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</si>
  <si>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</si>
  <si>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</si>
  <si>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</si>
  <si>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</si>
  <si>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</si>
  <si>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</si>
  <si>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</si>
  <si>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</si>
  <si>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</si>
  <si>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</si>
  <si>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</si>
  <si>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</si>
  <si>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</si>
  <si>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</si>
  <si>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</si>
  <si>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</si>
  <si>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</si>
  <si>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</si>
  <si>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</si>
  <si>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</si>
  <si>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</si>
  <si>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</si>
  <si>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</si>
  <si>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</si>
  <si>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</si>
  <si>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</si>
  <si>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</si>
  <si>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</si>
  <si>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</si>
  <si>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</si>
  <si>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</si>
  <si>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</si>
  <si>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</si>
  <si>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</si>
  <si>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</si>
  <si>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</si>
  <si>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</si>
  <si>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</si>
  <si>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</si>
  <si>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</si>
  <si>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</si>
  <si>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</si>
  <si>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</si>
  <si>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</si>
  <si>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</si>
  <si>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</si>
  <si>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</si>
  <si>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</si>
  <si>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</si>
  <si>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</si>
  <si>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</si>
  <si>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</si>
  <si>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</si>
  <si>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</si>
  <si>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</si>
  <si>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</si>
  <si>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</si>
  <si>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</si>
  <si>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</si>
  <si>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</si>
  <si>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</si>
  <si>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</si>
  <si>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</si>
  <si>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</si>
  <si>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</si>
  <si>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</si>
  <si>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</si>
  <si>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</si>
  <si>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</si>
  <si>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</si>
  <si>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</si>
  <si>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</si>
  <si>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</si>
  <si>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</si>
  <si>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</si>
  <si>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</si>
  <si>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</si>
  <si>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</si>
  <si>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</si>
  <si>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</si>
  <si>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</si>
  <si>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</si>
  <si>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</si>
  <si>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</si>
  <si>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</si>
  <si>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</si>
  <si>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</si>
  <si>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</si>
  <si>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</si>
  <si>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</si>
  <si>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</si>
  <si>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</si>
  <si>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</si>
  <si>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</si>
  <si>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</si>
  <si>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</si>
  <si>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</si>
  <si>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</si>
  <si>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</si>
  <si>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</si>
  <si>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</si>
  <si>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</si>
  <si>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</si>
  <si>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</si>
  <si>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</si>
  <si>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</si>
  <si>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</si>
  <si>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</si>
  <si>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</si>
  <si>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</si>
  <si>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</si>
  <si>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</si>
  <si>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</si>
  <si>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</si>
  <si>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</si>
  <si>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</si>
  <si>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</si>
  <si>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</si>
  <si>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</si>
  <si>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</si>
  <si>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</si>
  <si>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</si>
  <si>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</si>
  <si>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</si>
  <si>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</si>
  <si>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</si>
  <si>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</si>
  <si>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</si>
  <si>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</si>
  <si>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</si>
  <si>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</si>
  <si>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</si>
  <si>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</si>
  <si>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</si>
  <si>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</si>
  <si>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</si>
  <si>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</si>
  <si>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</si>
  <si>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</si>
  <si>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</si>
  <si>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</si>
  <si>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</si>
  <si>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</si>
  <si>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</si>
  <si>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</si>
  <si>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</si>
  <si>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</si>
  <si>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</si>
  <si>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</si>
  <si>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</si>
  <si>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</si>
  <si>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</si>
  <si>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</si>
  <si>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</si>
  <si>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</si>
  <si>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</si>
  <si>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</si>
  <si>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</si>
  <si>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</si>
  <si>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</si>
  <si>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</si>
  <si>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</si>
  <si>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</si>
  <si>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</si>
  <si>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</si>
  <si>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</si>
  <si>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</si>
  <si>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</si>
  <si>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</si>
  <si>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</si>
  <si>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</si>
  <si>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</si>
  <si>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</si>
  <si>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</si>
  <si>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</si>
  <si>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</si>
  <si>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</si>
  <si>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</si>
  <si>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</si>
  <si>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</si>
  <si>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</si>
  <si>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</si>
  <si>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</si>
  <si>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</si>
  <si>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</si>
  <si>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</si>
  <si>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</si>
  <si>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</si>
  <si>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</si>
  <si>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</si>
  <si>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</si>
  <si>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</si>
  <si>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</si>
  <si>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</si>
  <si>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</si>
  <si>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</si>
  <si>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</si>
  <si>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</si>
  <si>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</si>
  <si>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</si>
  <si>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</si>
  <si>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</si>
  <si>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</si>
  <si>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</si>
  <si>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</si>
  <si>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</si>
  <si>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</si>
  <si>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</si>
  <si>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</si>
  <si>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</si>
  <si>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</si>
  <si>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</si>
  <si>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</si>
  <si>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</si>
  <si>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</si>
  <si>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</si>
  <si>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</si>
  <si>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</si>
  <si>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</si>
  <si>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</si>
  <si>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</si>
  <si>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</si>
  <si>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</si>
  <si>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</si>
  <si>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</si>
  <si>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</si>
  <si>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</si>
  <si>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</si>
  <si>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</si>
  <si>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</si>
  <si>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</si>
  <si>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</si>
  <si>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</si>
  <si>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</si>
  <si>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</si>
  <si>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</si>
  <si>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</si>
  <si>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</si>
  <si>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</si>
  <si>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</si>
  <si>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</si>
  <si>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</si>
  <si>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</si>
  <si>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</si>
  <si>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</si>
  <si>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</si>
  <si>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</si>
  <si>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</si>
  <si>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</si>
  <si>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</si>
  <si>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</si>
  <si>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</si>
  <si>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</si>
  <si>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</si>
  <si>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</si>
  <si>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</si>
  <si>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</si>
  <si>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</si>
  <si>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</si>
  <si>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</si>
  <si>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</si>
  <si>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</si>
  <si>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</si>
  <si>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</si>
  <si>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</si>
  <si>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</si>
  <si>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</si>
  <si>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</si>
  <si>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</si>
  <si>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</si>
  <si>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</si>
  <si>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</si>
  <si>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</si>
  <si>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</si>
  <si>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</si>
  <si>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</si>
  <si>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</si>
  <si>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</si>
  <si>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</si>
  <si>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</si>
  <si>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</si>
  <si>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</si>
  <si>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</si>
  <si>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</si>
  <si>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</si>
  <si>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</si>
  <si>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</si>
  <si>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</si>
  <si>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</si>
  <si>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</si>
  <si>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</si>
  <si>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</si>
  <si>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</si>
  <si>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</si>
  <si>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</si>
  <si>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</si>
  <si>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</si>
  <si>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</si>
  <si>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</si>
  <si>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</si>
  <si>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</si>
  <si>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</si>
  <si>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</si>
  <si>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</si>
  <si>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</si>
  <si>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</si>
  <si>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</si>
  <si>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</si>
  <si>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</si>
  <si>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</si>
  <si>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</si>
  <si>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</si>
  <si>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</si>
  <si>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</si>
  <si>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</si>
  <si>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</si>
  <si>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</si>
  <si>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</si>
  <si>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</si>
  <si>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</si>
  <si>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</si>
  <si>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</si>
  <si>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</si>
  <si>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</si>
  <si>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</si>
  <si>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</si>
  <si>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</si>
  <si>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</si>
  <si>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</si>
  <si>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</si>
  <si>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</si>
  <si>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</si>
  <si>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</si>
  <si>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</si>
  <si>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</si>
  <si>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</si>
  <si>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</si>
  <si>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</si>
  <si>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</si>
  <si>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</si>
  <si>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</si>
  <si>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</si>
  <si>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</si>
  <si>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</si>
  <si>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</si>
  <si>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</si>
  <si>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</si>
  <si>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</si>
  <si>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</si>
  <si>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</si>
  <si>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</si>
  <si>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</si>
  <si>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</si>
  <si>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</si>
  <si>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</si>
  <si>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</si>
  <si>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</si>
  <si>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</si>
  <si>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</si>
  <si>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</si>
  <si>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</si>
  <si>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</si>
  <si>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</si>
  <si>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</si>
  <si>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</si>
  <si>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</si>
  <si>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</si>
  <si>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</si>
  <si>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</si>
  <si>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</si>
  <si>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</si>
  <si>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</si>
  <si>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</si>
  <si>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</si>
  <si>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</si>
  <si>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</si>
  <si>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</si>
  <si>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</si>
  <si>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</si>
  <si>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</si>
  <si>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</si>
  <si>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</si>
  <si>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</si>
  <si>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</si>
  <si>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</si>
  <si>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</si>
  <si>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</si>
  <si>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</si>
  <si>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</si>
  <si>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</si>
  <si>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</si>
  <si>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</si>
  <si>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</si>
  <si>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</si>
  <si>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</si>
  <si>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</si>
  <si>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</si>
  <si>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</si>
  <si>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</si>
  <si>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</si>
  <si>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</si>
  <si>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</si>
  <si>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</si>
  <si>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</si>
  <si>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</si>
  <si>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</si>
  <si>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</si>
  <si>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</si>
  <si>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</si>
  <si>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</si>
  <si>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</si>
  <si>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</si>
  <si>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</si>
  <si>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</si>
  <si>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</si>
  <si>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</si>
  <si>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</si>
  <si>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</si>
  <si>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</si>
  <si>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</si>
  <si>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</si>
  <si>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</si>
  <si>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</si>
  <si>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</si>
  <si>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</si>
  <si>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</si>
  <si>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</si>
  <si>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</si>
  <si>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</si>
  <si>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</si>
  <si>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</si>
  <si>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</si>
  <si>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</si>
  <si>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</si>
  <si>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</si>
  <si>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</si>
  <si>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</si>
  <si>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</si>
  <si>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</si>
  <si>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</si>
  <si>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</si>
  <si>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</si>
  <si>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</si>
  <si>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</si>
  <si>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</si>
  <si>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</si>
  <si>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</si>
  <si>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</si>
  <si>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</si>
  <si>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</si>
  <si>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</si>
  <si>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</si>
  <si>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</si>
  <si>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</si>
  <si>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</si>
  <si>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</si>
  <si>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</si>
  <si>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</si>
  <si>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</si>
  <si>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</si>
  <si>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</si>
  <si>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</si>
  <si>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</si>
  <si>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</si>
  <si>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</si>
  <si>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</si>
  <si>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</si>
  <si>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</si>
  <si>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</si>
  <si>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</si>
  <si>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</si>
  <si>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</si>
  <si>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</si>
  <si>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</si>
  <si>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</si>
  <si>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</si>
  <si>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</si>
  <si>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</si>
  <si>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</si>
  <si>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</si>
  <si>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</si>
  <si>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</si>
  <si>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</si>
  <si>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</si>
  <si>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</si>
  <si>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</si>
  <si>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</si>
  <si>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</si>
  <si>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</si>
  <si>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</si>
  <si>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</si>
  <si>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</si>
  <si>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</si>
  <si>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</si>
  <si>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</si>
  <si>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</si>
  <si>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</si>
  <si>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</si>
  <si>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</si>
  <si>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</si>
  <si>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</si>
  <si>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</si>
  <si>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</si>
  <si>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</si>
  <si>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</si>
  <si>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</si>
  <si>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</si>
  <si>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</si>
  <si>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</si>
  <si>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</si>
  <si>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</si>
  <si>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</si>
  <si>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</si>
  <si>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</si>
  <si>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</si>
  <si>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</si>
  <si>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</si>
  <si>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</si>
  <si>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</si>
  <si>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</si>
  <si>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</si>
  <si>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</si>
  <si>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</si>
  <si>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</si>
  <si>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</si>
  <si>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</si>
  <si>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</si>
  <si>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</si>
  <si>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</si>
  <si>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</si>
  <si>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</si>
  <si>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</si>
  <si>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</si>
  <si>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</si>
  <si>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</si>
  <si>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</si>
  <si>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</si>
  <si>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</si>
  <si>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</si>
  <si>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</si>
  <si>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</si>
  <si>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</si>
  <si>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</si>
  <si>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</si>
  <si>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</si>
  <si>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</si>
  <si>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</si>
  <si>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</si>
  <si>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</si>
  <si>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</si>
  <si>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</si>
  <si>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</si>
  <si>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</si>
  <si>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</si>
  <si>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</si>
  <si>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</si>
  <si>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</si>
  <si>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</si>
  <si>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</si>
  <si>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</si>
  <si>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</si>
  <si>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</si>
  <si>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</si>
  <si>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</si>
  <si>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</si>
  <si>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</si>
  <si>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</si>
  <si>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</si>
  <si>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</si>
  <si>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</si>
  <si>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</si>
  <si>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</si>
  <si>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</si>
  <si>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</si>
  <si>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</si>
  <si>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</si>
  <si>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</si>
  <si>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</si>
  <si>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</si>
  <si>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</si>
  <si>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</si>
  <si>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</si>
  <si>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</si>
  <si>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</si>
  <si>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</si>
  <si>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</si>
  <si>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</si>
  <si>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</si>
  <si>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</si>
  <si>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</si>
  <si>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</si>
  <si>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</si>
  <si>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</si>
  <si>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</si>
  <si>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</si>
  <si>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</si>
  <si>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</si>
  <si>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</si>
  <si>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</si>
  <si>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</si>
  <si>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</si>
  <si>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</si>
  <si>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</si>
  <si>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</si>
  <si>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</si>
  <si>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</si>
  <si>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</si>
  <si>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</si>
  <si>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</si>
  <si>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</si>
  <si>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</si>
  <si>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</si>
  <si>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</si>
  <si>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</si>
  <si>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</si>
  <si>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</si>
  <si>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</si>
  <si>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</si>
  <si>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</si>
  <si>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</si>
  <si>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</si>
  <si>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</si>
  <si>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</si>
  <si>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</si>
  <si>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</si>
  <si>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</si>
  <si>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</si>
  <si>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</si>
  <si>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</si>
  <si>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</si>
  <si>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</si>
  <si>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</si>
  <si>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</si>
  <si>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</si>
  <si>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</si>
  <si>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</si>
  <si>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</si>
  <si>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</si>
  <si>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</si>
  <si>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</si>
  <si>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</si>
  <si>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</si>
  <si>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</si>
  <si>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</si>
  <si>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</si>
  <si>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</si>
  <si>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</si>
  <si>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</si>
  <si>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</si>
  <si>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</si>
  <si>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</si>
  <si>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</si>
  <si>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</si>
  <si>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</si>
  <si>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</si>
  <si>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</si>
  <si>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</si>
  <si>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</si>
  <si>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</si>
  <si>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</si>
  <si>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</si>
  <si>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</si>
  <si>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</si>
  <si>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</si>
  <si>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</si>
  <si>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</si>
  <si>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</si>
  <si>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</si>
  <si>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</si>
  <si>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</si>
  <si>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</si>
  <si>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</si>
  <si>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</si>
  <si>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</si>
  <si>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</si>
  <si>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</si>
  <si>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</si>
  <si>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</si>
  <si>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</si>
  <si>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</si>
  <si>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</si>
  <si>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</si>
  <si>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</si>
  <si>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</si>
  <si>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</si>
  <si>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</si>
  <si>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</si>
  <si>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</si>
  <si>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</si>
  <si>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</si>
  <si>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</si>
  <si>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</si>
  <si>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</si>
  <si>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</si>
  <si>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</si>
  <si>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</si>
  <si>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</si>
  <si>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</si>
  <si>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</si>
  <si>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</si>
  <si>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</si>
  <si>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</si>
  <si>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</si>
  <si>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</si>
  <si>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</si>
  <si>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</si>
  <si>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</si>
  <si>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</si>
  <si>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</si>
  <si>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</si>
  <si>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</si>
  <si>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</si>
  <si>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</si>
  <si>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</si>
  <si>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</si>
  <si>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</si>
  <si>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</si>
  <si>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</si>
  <si>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</si>
  <si>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</si>
  <si>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</si>
  <si>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</si>
  <si>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</si>
  <si>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</si>
  <si>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</si>
  <si>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</si>
  <si>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</si>
  <si>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</si>
  <si>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</si>
  <si>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</si>
  <si>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</si>
  <si>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</si>
  <si>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</si>
  <si>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</si>
  <si>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</si>
  <si>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</si>
  <si>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</si>
  <si>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</si>
  <si>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</si>
  <si>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</si>
  <si>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</si>
  <si>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</si>
  <si>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</si>
  <si>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</si>
  <si>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</si>
  <si>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</si>
  <si>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</si>
  <si>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</si>
  <si>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</si>
  <si>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</si>
  <si>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</si>
  <si>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</si>
  <si>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</si>
  <si>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</si>
  <si>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</si>
  <si>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</si>
  <si>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</si>
  <si>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</si>
  <si>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</si>
  <si>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</si>
  <si>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</si>
  <si>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</si>
  <si>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</si>
  <si>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</si>
  <si>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</si>
  <si>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</si>
  <si>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</si>
  <si>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</si>
  <si>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</si>
  <si>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</si>
  <si>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</si>
  <si>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</si>
  <si>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</si>
  <si>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</si>
  <si>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</si>
  <si>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</si>
  <si>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</si>
  <si>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</si>
  <si>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</si>
  <si>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</si>
  <si>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</si>
  <si>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</si>
  <si>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</si>
  <si>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</si>
  <si>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</si>
  <si>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</si>
  <si>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</si>
  <si>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</si>
  <si>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</si>
  <si>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</si>
  <si>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</si>
  <si>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</si>
  <si>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</si>
  <si>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</si>
  <si>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</si>
  <si>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</si>
  <si>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</si>
  <si>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</si>
  <si>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</si>
  <si>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</si>
  <si>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</si>
  <si>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</si>
  <si>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</si>
  <si>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</si>
  <si>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</si>
  <si>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</si>
  <si>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</si>
  <si>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</si>
  <si>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</si>
  <si>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</si>
  <si>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</si>
  <si>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</si>
  <si>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</si>
  <si>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</si>
  <si>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</si>
  <si>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</si>
  <si>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</si>
  <si>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</si>
  <si>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</si>
  <si>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</si>
  <si>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</si>
  <si>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</si>
  <si>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</si>
  <si>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</si>
  <si>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</si>
  <si>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</si>
  <si>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</si>
  <si>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</si>
  <si>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</si>
  <si>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</si>
  <si>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</si>
  <si>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</si>
  <si>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</si>
  <si>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</si>
  <si>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</si>
  <si>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</si>
  <si>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</si>
  <si>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</si>
  <si>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</si>
  <si>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</si>
  <si>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</si>
  <si>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</si>
  <si>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</si>
  <si>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</si>
  <si>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</si>
  <si>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</si>
  <si>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</si>
  <si>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</si>
  <si>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</si>
  <si>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</si>
  <si>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</si>
  <si>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</si>
  <si>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</si>
  <si>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</si>
  <si>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</si>
  <si>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</si>
  <si>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</si>
  <si>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</si>
  <si>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</si>
  <si>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</si>
  <si>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</si>
  <si>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</si>
  <si>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</si>
  <si>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</si>
  <si>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</si>
  <si>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</si>
  <si>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</si>
  <si>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</si>
  <si>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</si>
  <si>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</si>
  <si>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</si>
  <si>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</si>
  <si>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</si>
  <si>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</si>
  <si>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</si>
  <si>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</si>
  <si>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</si>
  <si>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</si>
  <si>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</si>
  <si>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</si>
  <si>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</si>
  <si>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</si>
  <si>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</si>
  <si>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</si>
  <si>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</si>
  <si>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</si>
  <si>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</si>
  <si>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</si>
  <si>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</si>
  <si>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</si>
  <si>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</si>
  <si>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</si>
  <si>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</si>
  <si>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</si>
  <si>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</si>
  <si>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</si>
  <si>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</si>
  <si>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</si>
  <si>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</si>
  <si>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</si>
  <si>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</si>
  <si>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</si>
  <si>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</si>
  <si>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</si>
  <si>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</si>
  <si>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</si>
  <si>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</si>
  <si>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</si>
  <si>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</si>
  <si>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</si>
  <si>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</si>
  <si>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</si>
  <si>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</si>
  <si>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</si>
  <si>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</si>
  <si>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</si>
  <si>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</si>
  <si>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</si>
  <si>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</si>
  <si>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</si>
  <si>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</si>
  <si>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</si>
  <si>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</si>
  <si>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</si>
  <si>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</si>
  <si>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</si>
  <si>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</si>
  <si>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</si>
  <si>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</si>
  <si>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</si>
  <si>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</si>
  <si>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</si>
  <si>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</si>
  <si>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</si>
  <si>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</si>
  <si>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</si>
  <si>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</si>
  <si>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</si>
  <si>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</si>
  <si>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</si>
  <si>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</si>
  <si>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</si>
  <si>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</si>
  <si>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</si>
  <si>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</si>
  <si>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</si>
  <si>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</si>
  <si>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</si>
  <si>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</si>
  <si>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</si>
  <si>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</si>
  <si>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</si>
  <si>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</si>
  <si>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</si>
  <si>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</si>
  <si>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</si>
  <si>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</si>
  <si>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</si>
  <si>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</si>
  <si>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</si>
  <si>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</si>
  <si>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</si>
  <si>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</si>
  <si>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</si>
  <si>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</si>
  <si>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</si>
  <si>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</si>
  <si>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</si>
  <si>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</si>
  <si>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</si>
  <si>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</si>
  <si>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</si>
  <si>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</si>
  <si>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</si>
  <si>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</si>
  <si>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</si>
  <si>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</si>
  <si>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</si>
  <si>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</si>
  <si>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</si>
  <si>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</si>
  <si>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</si>
  <si>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</si>
  <si>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</si>
  <si>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</si>
  <si>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</si>
  <si>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</si>
  <si>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</si>
  <si>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</si>
  <si>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</si>
  <si>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</si>
  <si>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</si>
  <si>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</si>
  <si>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KJLTVR411500R01</t>
  </si>
  <si>
    <t>F174766</t>
  </si>
  <si>
    <t>LTVR4</t>
  </si>
  <si>
    <t>2 - LLENA</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</si>
</sst>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2">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11" fontId="3" fillId="24" borderId="62" xfId="0" applyNumberFormat="1" applyFont="1" applyFill="1" applyBorder="1" applyAlignment="1" applyProtection="1">
      <alignment horizontal="right"/>
      <protection locked="0"/>
    </xf>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74.5</c:v>
                </c:pt>
                <c:pt idx="2">
                  <c:v>32</c:v>
                </c:pt>
                <c:pt idx="3">
                  <c:v>32</c:v>
                </c:pt>
                <c:pt idx="4">
                  <c:v>7</c:v>
                </c:pt>
                <c:pt idx="6">
                  <c:v>27.5</c:v>
                </c:pt>
                <c:pt idx="7">
                  <c:v>27.400000000000002</c:v>
                </c:pt>
                <c:pt idx="8">
                  <c:v>36.1</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4720384"/>
        <c:axId val="74721920"/>
      </c:barChart>
      <c:catAx>
        <c:axId val="74720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721920"/>
        <c:crossesAt val="0"/>
        <c:auto val="1"/>
        <c:lblAlgn val="ctr"/>
        <c:lblOffset val="100"/>
        <c:tickLblSkip val="1"/>
        <c:tickMarkSkip val="1"/>
        <c:noMultiLvlLbl val="0"/>
      </c:catAx>
      <c:valAx>
        <c:axId val="7472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720384"/>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188.2</c:v>
                </c:pt>
                <c:pt idx="2">
                  <c:v>188.2</c:v>
                </c:pt>
              </c:numCache>
            </c:numRef>
          </c:xVal>
          <c:yVal>
            <c:numRef>
              <c:f>'Diagram Data'!$N$25:$N$27</c:f>
              <c:numCache>
                <c:formatCode>General</c:formatCode>
                <c:ptCount val="3"/>
                <c:pt idx="0">
                  <c:v>1666</c:v>
                </c:pt>
                <c:pt idx="1">
                  <c:v>1666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188.2</c:v>
                </c:pt>
              </c:numCache>
            </c:numRef>
          </c:xVal>
          <c:yVal>
            <c:numRef>
              <c:f>'Diagram Data'!$D$25</c:f>
              <c:numCache>
                <c:formatCode>General</c:formatCode>
                <c:ptCount val="1"/>
                <c:pt idx="0">
                  <c:v>1666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51.741783227124806</c:v>
                </c:pt>
              </c:numCache>
            </c:numRef>
          </c:xVal>
          <c:yVal>
            <c:numRef>
              <c:f>'Diagram Data'!$F$25</c:f>
              <c:numCache>
                <c:formatCode>0.00</c:formatCode>
                <c:ptCount val="1"/>
                <c:pt idx="0">
                  <c:v>548.27779270884446</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169.38</c:v>
                </c:pt>
                <c:pt idx="2">
                  <c:v>169.38</c:v>
                </c:pt>
              </c:numCache>
            </c:numRef>
          </c:xVal>
          <c:yVal>
            <c:numRef>
              <c:f>'Diagram Data'!$P$25:$P$27</c:f>
              <c:numCache>
                <c:formatCode>General</c:formatCode>
                <c:ptCount val="3"/>
                <c:pt idx="0">
                  <c:v>1499.4</c:v>
                </c:pt>
                <c:pt idx="1">
                  <c:v>1499.4</c:v>
                </c:pt>
                <c:pt idx="2">
                  <c:v>0</c:v>
                </c:pt>
              </c:numCache>
            </c:numRef>
          </c:yVal>
          <c:smooth val="0"/>
        </c:ser>
        <c:dLbls>
          <c:showLegendKey val="0"/>
          <c:showVal val="0"/>
          <c:showCatName val="0"/>
          <c:showSerName val="0"/>
          <c:showPercent val="0"/>
          <c:showBubbleSize val="0"/>
        </c:dLbls>
        <c:axId val="74744576"/>
        <c:axId val="74746496"/>
      </c:scatterChart>
      <c:valAx>
        <c:axId val="7474457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746496"/>
        <c:crosses val="autoZero"/>
        <c:crossBetween val="midCat"/>
      </c:valAx>
      <c:valAx>
        <c:axId val="7474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74457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188.2</c:v>
                </c:pt>
                <c:pt idx="2">
                  <c:v>188.2</c:v>
                </c:pt>
              </c:numCache>
            </c:numRef>
          </c:xVal>
          <c:yVal>
            <c:numRef>
              <c:f>'Diagram Data'!$N$29:$N$31</c:f>
              <c:numCache>
                <c:formatCode>General</c:formatCode>
                <c:ptCount val="3"/>
                <c:pt idx="0">
                  <c:v>1666</c:v>
                </c:pt>
                <c:pt idx="1">
                  <c:v>1666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188.2</c:v>
                </c:pt>
              </c:numCache>
            </c:numRef>
          </c:xVal>
          <c:yVal>
            <c:numRef>
              <c:f>'Diagram Data'!$D$29</c:f>
              <c:numCache>
                <c:formatCode>General</c:formatCode>
                <c:ptCount val="1"/>
                <c:pt idx="0">
                  <c:v>1666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51.513112071357078</c:v>
                </c:pt>
              </c:numCache>
            </c:numRef>
          </c:xVal>
          <c:yVal>
            <c:numRef>
              <c:f>'Diagram Data'!$F$29</c:f>
              <c:numCache>
                <c:formatCode>0.00</c:formatCode>
                <c:ptCount val="1"/>
                <c:pt idx="0">
                  <c:v>548.27779270884446</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169.38</c:v>
                </c:pt>
                <c:pt idx="2">
                  <c:v>169.38</c:v>
                </c:pt>
              </c:numCache>
            </c:numRef>
          </c:xVal>
          <c:yVal>
            <c:numRef>
              <c:f>'Diagram Data'!$P$29:$P$31</c:f>
              <c:numCache>
                <c:formatCode>General</c:formatCode>
                <c:ptCount val="3"/>
                <c:pt idx="0">
                  <c:v>1499.4</c:v>
                </c:pt>
                <c:pt idx="1">
                  <c:v>1499.4</c:v>
                </c:pt>
                <c:pt idx="2">
                  <c:v>0</c:v>
                </c:pt>
              </c:numCache>
            </c:numRef>
          </c:yVal>
          <c:smooth val="0"/>
        </c:ser>
        <c:dLbls>
          <c:showLegendKey val="0"/>
          <c:showVal val="0"/>
          <c:showCatName val="0"/>
          <c:showSerName val="0"/>
          <c:showPercent val="0"/>
          <c:showBubbleSize val="0"/>
        </c:dLbls>
        <c:axId val="80610432"/>
        <c:axId val="80612352"/>
      </c:scatterChart>
      <c:valAx>
        <c:axId val="8061043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612352"/>
        <c:crosses val="autoZero"/>
        <c:crossBetween val="midCat"/>
      </c:valAx>
      <c:valAx>
        <c:axId val="8061235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61043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117.6</c:v>
                </c:pt>
                <c:pt idx="2">
                  <c:v>117.6</c:v>
                </c:pt>
              </c:numCache>
            </c:numRef>
          </c:xVal>
          <c:yVal>
            <c:numRef>
              <c:f>'Diagram Data'!$N$33:$N$35</c:f>
              <c:numCache>
                <c:formatCode>General</c:formatCode>
                <c:ptCount val="3"/>
                <c:pt idx="0">
                  <c:v>715.4</c:v>
                </c:pt>
                <c:pt idx="1">
                  <c:v>715.4</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117.6</c:v>
                </c:pt>
              </c:numCache>
            </c:numRef>
          </c:xVal>
          <c:yVal>
            <c:numRef>
              <c:f>'Diagram Data'!$D$33</c:f>
              <c:numCache>
                <c:formatCode>General</c:formatCode>
                <c:ptCount val="1"/>
                <c:pt idx="0">
                  <c:v>715.4</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42.364032026281173</c:v>
                </c:pt>
              </c:numCache>
            </c:numRef>
          </c:xVal>
          <c:yVal>
            <c:numRef>
              <c:f>'Diagram Data'!$F$33</c:f>
              <c:numCache>
                <c:formatCode>0.00</c:formatCode>
                <c:ptCount val="1"/>
                <c:pt idx="0">
                  <c:v>51.724145222857871</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105.84</c:v>
                </c:pt>
                <c:pt idx="2">
                  <c:v>105.84</c:v>
                </c:pt>
              </c:numCache>
            </c:numRef>
          </c:xVal>
          <c:yVal>
            <c:numRef>
              <c:f>'Diagram Data'!$P$33:$P$35</c:f>
              <c:numCache>
                <c:formatCode>General</c:formatCode>
                <c:ptCount val="3"/>
                <c:pt idx="0">
                  <c:v>643.86</c:v>
                </c:pt>
                <c:pt idx="1">
                  <c:v>643.86</c:v>
                </c:pt>
                <c:pt idx="2">
                  <c:v>0</c:v>
                </c:pt>
              </c:numCache>
            </c:numRef>
          </c:yVal>
          <c:smooth val="0"/>
        </c:ser>
        <c:dLbls>
          <c:showLegendKey val="0"/>
          <c:showVal val="0"/>
          <c:showCatName val="0"/>
          <c:showSerName val="0"/>
          <c:showPercent val="0"/>
          <c:showBubbleSize val="0"/>
        </c:dLbls>
        <c:axId val="80664064"/>
        <c:axId val="80665984"/>
      </c:scatterChart>
      <c:valAx>
        <c:axId val="80664064"/>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665984"/>
        <c:crosses val="autoZero"/>
        <c:crossBetween val="midCat"/>
      </c:valAx>
      <c:valAx>
        <c:axId val="80665984"/>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664064"/>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51.741758282620133</c:v>
                </c:pt>
                <c:pt idx="1">
                  <c:v>50.458603315266963</c:v>
                </c:pt>
                <c:pt idx="2">
                  <c:v>47.013599203968745</c:v>
                </c:pt>
                <c:pt idx="3">
                  <c:v>43.336797080867115</c:v>
                </c:pt>
                <c:pt idx="4">
                  <c:v>42.548752382652935</c:v>
                </c:pt>
                <c:pt idx="5">
                  <c:v>42.419738593871415</c:v>
                </c:pt>
                <c:pt idx="6">
                  <c:v>42.375794124576196</c:v>
                </c:pt>
                <c:pt idx="7">
                  <c:v>42.36419645880499</c:v>
                </c:pt>
                <c:pt idx="8">
                  <c:v>42.396542100134226</c:v>
                </c:pt>
                <c:pt idx="9">
                  <c:v>42.887421286288621</c:v>
                </c:pt>
                <c:pt idx="10">
                  <c:v>46.884984024334464</c:v>
                </c:pt>
                <c:pt idx="11">
                  <c:v>50.428155166615483</c:v>
                </c:pt>
                <c:pt idx="12">
                  <c:v>51.741758282620133</c:v>
                </c:pt>
                <c:pt idx="13">
                  <c:v>50.45860331526697</c:v>
                </c:pt>
                <c:pt idx="14">
                  <c:v>47.013599203968738</c:v>
                </c:pt>
                <c:pt idx="15">
                  <c:v>43.336797080867115</c:v>
                </c:pt>
                <c:pt idx="16">
                  <c:v>42.548752382652928</c:v>
                </c:pt>
                <c:pt idx="17">
                  <c:v>42.419738593871408</c:v>
                </c:pt>
                <c:pt idx="18">
                  <c:v>42.375794124576196</c:v>
                </c:pt>
                <c:pt idx="19">
                  <c:v>42.36419645880499</c:v>
                </c:pt>
                <c:pt idx="20">
                  <c:v>42.396542100134219</c:v>
                </c:pt>
                <c:pt idx="21">
                  <c:v>42.887421286288628</c:v>
                </c:pt>
                <c:pt idx="22">
                  <c:v>46.88498402433445</c:v>
                </c:pt>
                <c:pt idx="23">
                  <c:v>50.428155166615483</c:v>
                </c:pt>
                <c:pt idx="24">
                  <c:v>51.741758282620133</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31.832927183940221</c:v>
                </c:pt>
                <c:pt idx="1">
                  <c:v>33.167468585309749</c:v>
                </c:pt>
                <c:pt idx="2">
                  <c:v>36.781058353392922</c:v>
                </c:pt>
                <c:pt idx="3">
                  <c:v>41.705438028054466</c:v>
                </c:pt>
                <c:pt idx="4">
                  <c:v>46.621124052244596</c:v>
                </c:pt>
                <c:pt idx="5">
                  <c:v>50.210962325536613</c:v>
                </c:pt>
                <c:pt idx="6">
                  <c:v>51.513058581643584</c:v>
                </c:pt>
                <c:pt idx="7">
                  <c:v>50.178517180274056</c:v>
                </c:pt>
                <c:pt idx="8">
                  <c:v>46.564927412190897</c:v>
                </c:pt>
                <c:pt idx="9">
                  <c:v>41.640547737529346</c:v>
                </c:pt>
                <c:pt idx="10">
                  <c:v>36.724861713339209</c:v>
                </c:pt>
                <c:pt idx="11">
                  <c:v>33.135023440047192</c:v>
                </c:pt>
                <c:pt idx="12">
                  <c:v>31.832927183940221</c:v>
                </c:pt>
                <c:pt idx="13">
                  <c:v>33.167468585309749</c:v>
                </c:pt>
                <c:pt idx="14">
                  <c:v>36.781058353392922</c:v>
                </c:pt>
                <c:pt idx="15">
                  <c:v>41.705438028054466</c:v>
                </c:pt>
                <c:pt idx="16">
                  <c:v>46.621124052244589</c:v>
                </c:pt>
                <c:pt idx="17">
                  <c:v>50.210962325536613</c:v>
                </c:pt>
                <c:pt idx="18">
                  <c:v>51.513058581643584</c:v>
                </c:pt>
                <c:pt idx="19">
                  <c:v>50.178517180274049</c:v>
                </c:pt>
                <c:pt idx="20">
                  <c:v>46.564927412190883</c:v>
                </c:pt>
                <c:pt idx="21">
                  <c:v>41.640547737529346</c:v>
                </c:pt>
                <c:pt idx="22">
                  <c:v>36.724861713339216</c:v>
                </c:pt>
                <c:pt idx="23">
                  <c:v>33.135023440047192</c:v>
                </c:pt>
                <c:pt idx="24">
                  <c:v>31.832927183940221</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6.4932652333732188E-2</c:v>
                </c:pt>
              </c:numCache>
            </c:numRef>
          </c:xVal>
          <c:yVal>
            <c:numRef>
              <c:f>'Payload Input'!$J$89</c:f>
              <c:numCache>
                <c:formatCode>General</c:formatCode>
                <c:ptCount val="1"/>
                <c:pt idx="0">
                  <c:v>51.741783227124806</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89.905541120895137</c:v>
                </c:pt>
              </c:numCache>
            </c:numRef>
          </c:xVal>
          <c:yVal>
            <c:numRef>
              <c:f>'Payload Input'!$K$90</c:f>
              <c:numCache>
                <c:formatCode>General</c:formatCode>
                <c:ptCount val="1"/>
                <c:pt idx="0">
                  <c:v>51.513112071357078</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42.364032026281173</c:v>
                </c:pt>
              </c:numCache>
            </c:numRef>
          </c:yVal>
          <c:smooth val="1"/>
        </c:ser>
        <c:dLbls>
          <c:showLegendKey val="0"/>
          <c:showVal val="0"/>
          <c:showCatName val="0"/>
          <c:showSerName val="0"/>
          <c:showPercent val="0"/>
          <c:showBubbleSize val="0"/>
        </c:dLbls>
        <c:axId val="80531456"/>
        <c:axId val="80533376"/>
      </c:scatterChart>
      <c:valAx>
        <c:axId val="8053145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80533376"/>
        <c:crosses val="autoZero"/>
        <c:crossBetween val="midCat"/>
      </c:valAx>
      <c:valAx>
        <c:axId val="80533376"/>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8053145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84445440"/>
        <c:axId val="84455424"/>
      </c:scatterChart>
      <c:valAx>
        <c:axId val="84445440"/>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4455424"/>
        <c:crosses val="autoZero"/>
        <c:crossBetween val="midCat"/>
      </c:valAx>
      <c:valAx>
        <c:axId val="84455424"/>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4445440"/>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G4" sqref="G4:H4"/>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M-900iA/260L</v>
      </c>
      <c r="D4" s="83" t="s">
        <v>3003</v>
      </c>
      <c r="F4" s="787" t="s">
        <v>3949</v>
      </c>
      <c r="G4" s="968" t="s">
        <v>4041</v>
      </c>
      <c r="H4" s="969"/>
    </row>
    <row r="5" spans="1:8" s="83" customFormat="1" ht="15">
      <c r="B5" s="280"/>
      <c r="C5" s="285">
        <f>VLOOKUP('Misc Data'!$B$26,Table1,17)</f>
        <v>0</v>
      </c>
      <c r="F5" s="787" t="s">
        <v>3950</v>
      </c>
      <c r="G5" s="970" t="s">
        <v>4040</v>
      </c>
      <c r="H5" s="974"/>
    </row>
    <row r="6" spans="1:8" s="83" customFormat="1" ht="15">
      <c r="B6" s="280" t="s">
        <v>3936</v>
      </c>
      <c r="C6" s="794" t="str">
        <f>'Misc Data'!C11</f>
        <v>CofG - SI</v>
      </c>
      <c r="F6" s="787" t="s">
        <v>3951</v>
      </c>
      <c r="G6" s="970" t="s">
        <v>4042</v>
      </c>
      <c r="H6" s="971"/>
    </row>
    <row r="7" spans="1:8" s="83" customFormat="1" ht="15">
      <c r="B7" s="280" t="s">
        <v>3937</v>
      </c>
      <c r="C7" s="795">
        <f>Summary!C7</f>
        <v>1</v>
      </c>
      <c r="E7" s="91"/>
      <c r="F7" s="787" t="s">
        <v>3952</v>
      </c>
      <c r="G7" s="970" t="s">
        <v>4039</v>
      </c>
      <c r="H7" s="971"/>
    </row>
    <row r="8" spans="1:8" ht="15.75" thickBot="1">
      <c r="B8" s="782" t="s">
        <v>4035</v>
      </c>
      <c r="C8" s="796">
        <f>'Payload Input'!$E$26</f>
        <v>0.27</v>
      </c>
      <c r="D8" s="83"/>
      <c r="F8" s="788" t="s">
        <v>3953</v>
      </c>
      <c r="G8" s="972" t="s">
        <v>4043</v>
      </c>
      <c r="H8" s="973"/>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195.17</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2.6293489999999999E-2</v>
      </c>
      <c r="F13" s="785" t="s">
        <v>3913</v>
      </c>
      <c r="G13" s="151"/>
      <c r="H13" s="170" t="str">
        <f>'Wrist Load Analysis'!R16</f>
        <v>OK</v>
      </c>
    </row>
    <row r="14" spans="1:8" ht="13.5" thickBot="1">
      <c r="B14" s="163" t="str">
        <f>HLOOKUP(Anal_Payload_Code,Unit_text,5)</f>
        <v>Payload Center Y (m)</v>
      </c>
      <c r="C14" s="965">
        <v>-6.3224939999999997E-3</v>
      </c>
      <c r="F14" s="786" t="s">
        <v>3914</v>
      </c>
      <c r="G14" s="70"/>
      <c r="H14" s="443" t="str">
        <f>'Wrist Load Analysis'!R17</f>
        <v>OK</v>
      </c>
    </row>
    <row r="15" spans="1:8">
      <c r="B15" s="163" t="str">
        <f>IF(Axis_Type=1,"--------------------------------",HLOOKUP(Anal_Payload_Code,Unit_text,6))</f>
        <v>Payload Center Z (m)</v>
      </c>
      <c r="C15" s="338">
        <v>1.537786E-2</v>
      </c>
      <c r="F15" s="444"/>
      <c r="G15" s="169"/>
      <c r="H15" s="169"/>
    </row>
    <row r="16" spans="1:8">
      <c r="A16" s="264"/>
      <c r="B16" s="163" t="str">
        <f>HLOOKUP(Anal_Payload_Code,Unit_text,7)</f>
        <v>Payload Inertia Ix (Kg.m^2)</v>
      </c>
      <c r="C16" s="338">
        <v>35.610509999999998</v>
      </c>
      <c r="E16" s="264"/>
      <c r="F16" s="5"/>
      <c r="G16" s="151"/>
      <c r="H16" s="151"/>
    </row>
    <row r="17" spans="1:8" ht="13.5" thickBot="1">
      <c r="B17" s="265" t="str">
        <f>HLOOKUP(Anal_Payload_Code,Unit_text,8)</f>
        <v>Payload Inertia Iy (Kg.m^2)</v>
      </c>
      <c r="C17" s="339">
        <v>15.80325</v>
      </c>
      <c r="D17" s="264"/>
      <c r="F17" s="12"/>
      <c r="G17" s="263"/>
      <c r="H17" s="263"/>
    </row>
    <row r="18" spans="1:8" ht="16.149999999999999" customHeight="1" thickBot="1">
      <c r="B18" s="412" t="str">
        <f>IF(Axis_Type=1,"--------------------------------",HLOOKUP(Anal_Payload_Code,Unit_text,9))</f>
        <v>Payload Inertia Iz (Kg.m^2)</v>
      </c>
      <c r="C18" s="548">
        <v>42.221299999999999</v>
      </c>
      <c r="F18" s="780" t="s">
        <v>3956</v>
      </c>
      <c r="G18" s="168"/>
      <c r="H18" s="167"/>
    </row>
    <row r="19" spans="1:8" ht="16.5" thickBot="1">
      <c r="A19" s="264"/>
      <c r="C19" s="192"/>
      <c r="D19" s="192"/>
      <c r="E19" s="264"/>
      <c r="F19" s="789" t="s">
        <v>4037</v>
      </c>
      <c r="G19" s="171"/>
      <c r="H19" s="325">
        <f>'Wrist Load Analysis'!R20</f>
        <v>74.5</v>
      </c>
    </row>
    <row r="20" spans="1:8" ht="15.75" thickBot="1">
      <c r="A20" s="264"/>
      <c r="B20" s="780" t="s">
        <v>3938</v>
      </c>
      <c r="C20" s="783" t="s">
        <v>3939</v>
      </c>
      <c r="D20" s="784" t="s">
        <v>3940</v>
      </c>
      <c r="E20" s="264"/>
      <c r="F20" s="966" t="s">
        <v>4038</v>
      </c>
      <c r="G20" s="967"/>
      <c r="H20" s="408">
        <f>ROUNDDOWN(Payload_lim_J3,1)</f>
        <v>262.2</v>
      </c>
    </row>
    <row r="21" spans="1:8">
      <c r="A21" s="264"/>
      <c r="B21" s="785" t="s">
        <v>4036</v>
      </c>
      <c r="C21" s="336">
        <f>VLOOKUP('Misc Data'!$B$26,Table1,12)</f>
        <v>260</v>
      </c>
      <c r="D21" s="365">
        <f>'Wrist Load Analysis'!R6</f>
        <v>195.17</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32</v>
      </c>
    </row>
    <row r="23" spans="1:8">
      <c r="B23" s="785" t="s">
        <v>3942</v>
      </c>
      <c r="C23" s="336">
        <f>VLOOKUP('Misc Data'!$B$26,Table1,6)</f>
        <v>1666</v>
      </c>
      <c r="D23" s="365">
        <f>'Wrist Load Analysis'!R7</f>
        <v>548.27779270884446</v>
      </c>
      <c r="F23" s="785" t="s">
        <v>3959</v>
      </c>
      <c r="G23" s="380"/>
      <c r="H23" s="442">
        <f>'Wrist Load Analysis'!R23</f>
        <v>32</v>
      </c>
    </row>
    <row r="24" spans="1:8" ht="13.5" thickBot="1">
      <c r="A24" s="264"/>
      <c r="B24" s="785" t="s">
        <v>3943</v>
      </c>
      <c r="C24" s="336">
        <f>VLOOKUP('Misc Data'!$B$26,Table1,7)</f>
        <v>1666</v>
      </c>
      <c r="D24" s="365">
        <f>'Wrist Load Analysis'!R8</f>
        <v>548.27779270884446</v>
      </c>
      <c r="E24" s="264"/>
      <c r="F24" s="786" t="s">
        <v>3960</v>
      </c>
      <c r="G24" s="381"/>
      <c r="H24" s="327">
        <f>IF(Axis_Count=1,"-",'Wrist Load Analysis'!R24)</f>
        <v>7</v>
      </c>
    </row>
    <row r="25" spans="1:8">
      <c r="A25" s="264"/>
      <c r="B25" s="785" t="s">
        <v>3944</v>
      </c>
      <c r="C25" s="336">
        <f>VLOOKUP('Misc Data'!$B$26,Table1,8)</f>
        <v>715.4</v>
      </c>
      <c r="D25" s="365">
        <f>IF(Axis_Count=1,"-",'Wrist Load Analysis'!R9)</f>
        <v>51.724145222857871</v>
      </c>
      <c r="E25" s="264"/>
      <c r="F25" s="791" t="s">
        <v>3961</v>
      </c>
      <c r="G25" s="172"/>
      <c r="H25" s="363"/>
    </row>
    <row r="26" spans="1:8">
      <c r="A26" s="264"/>
      <c r="B26" s="785" t="s">
        <v>3945</v>
      </c>
      <c r="C26" s="336">
        <f>VLOOKUP('Misc Data'!$B$26,Table1,9)</f>
        <v>188.2</v>
      </c>
      <c r="D26" s="365">
        <f>'Wrist Load Analysis'!R10</f>
        <v>51.741783227124806</v>
      </c>
      <c r="E26" s="264"/>
      <c r="F26" s="785" t="s">
        <v>3958</v>
      </c>
      <c r="G26" s="266"/>
      <c r="H26" s="326">
        <f>'Wrist Load Analysis'!R26</f>
        <v>27.5</v>
      </c>
    </row>
    <row r="27" spans="1:8">
      <c r="A27" s="264"/>
      <c r="B27" s="785" t="s">
        <v>3946</v>
      </c>
      <c r="C27" s="336">
        <f>VLOOKUP('Misc Data'!$B$26,Table1,10)</f>
        <v>188.2</v>
      </c>
      <c r="D27" s="365">
        <f>'Wrist Load Analysis'!R11</f>
        <v>51.513112071357078</v>
      </c>
      <c r="E27" s="264"/>
      <c r="F27" s="785" t="s">
        <v>3959</v>
      </c>
      <c r="G27" s="267"/>
      <c r="H27" s="326">
        <f>'Wrist Load Analysis'!R27</f>
        <v>27.400000000000002</v>
      </c>
    </row>
    <row r="28" spans="1:8" ht="13.5" thickBot="1">
      <c r="A28" s="264"/>
      <c r="B28" s="786" t="s">
        <v>3947</v>
      </c>
      <c r="C28" s="544">
        <f>VLOOKUP('Misc Data'!$B$26,Table1,11)</f>
        <v>117.6</v>
      </c>
      <c r="D28" s="545">
        <f>IF(Axis_Count=1,"-",'Wrist Load Analysis'!R12)</f>
        <v>42.364032026281173</v>
      </c>
      <c r="E28" s="264"/>
      <c r="F28" s="786" t="s">
        <v>3960</v>
      </c>
      <c r="G28" s="268"/>
      <c r="H28" s="327">
        <f>IF(Axis_Count=1,"-",'Wrist Load Analysis'!R28)</f>
        <v>36.1</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75" t="str">
        <f>'Robot Analysis'!F3</f>
        <v>REFERENCE DATA</v>
      </c>
      <c r="C3" s="976"/>
      <c r="D3" s="976"/>
      <c r="E3" s="976"/>
      <c r="F3" s="976"/>
      <c r="G3" s="976"/>
      <c r="H3" s="976"/>
      <c r="I3" s="977"/>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78" t="str">
        <f>'Robot Analysis'!B4</f>
        <v>Robot Type</v>
      </c>
      <c r="D5" s="979"/>
      <c r="E5" s="979"/>
      <c r="F5" s="979"/>
      <c r="G5" s="980" t="str">
        <f>'Robot Analysis'!C4</f>
        <v>M-900iA/260L</v>
      </c>
      <c r="H5" s="980"/>
      <c r="I5" s="981"/>
      <c r="J5" s="3"/>
      <c r="K5" s="3"/>
      <c r="L5" s="3"/>
      <c r="M5" s="3"/>
      <c r="N5" s="3"/>
      <c r="O5" s="3"/>
      <c r="P5" s="3"/>
      <c r="Q5" s="3"/>
      <c r="R5" s="3"/>
      <c r="S5" s="3"/>
    </row>
    <row r="6" spans="1:19" ht="13.5" customHeight="1">
      <c r="A6" s="3"/>
      <c r="B6" s="186"/>
      <c r="C6" s="984" t="str">
        <f>'Robot Analysis'!F4</f>
        <v>Robot E#</v>
      </c>
      <c r="D6" s="985"/>
      <c r="E6" s="985"/>
      <c r="F6" s="985"/>
      <c r="G6" s="982" t="str">
        <f>'Robot Analysis'!G4</f>
        <v>F174766</v>
      </c>
      <c r="H6" s="982"/>
      <c r="I6" s="983"/>
      <c r="J6" s="3"/>
      <c r="K6" s="3"/>
      <c r="L6" s="3"/>
      <c r="M6" s="3"/>
      <c r="N6" s="3"/>
      <c r="O6" s="3"/>
      <c r="P6" s="3"/>
      <c r="Q6" s="3"/>
      <c r="R6" s="3"/>
      <c r="S6" s="3"/>
    </row>
    <row r="7" spans="1:19" ht="13.5" customHeight="1">
      <c r="A7" s="3"/>
      <c r="B7" s="186"/>
      <c r="C7" s="984" t="str">
        <f>'Robot Analysis'!F5</f>
        <v>Tool #</v>
      </c>
      <c r="D7" s="985"/>
      <c r="E7" s="985"/>
      <c r="F7" s="985"/>
      <c r="G7" s="982" t="str">
        <f>'Robot Analysis'!G5</f>
        <v>KJLTVR411500R01</v>
      </c>
      <c r="H7" s="982"/>
      <c r="I7" s="983"/>
      <c r="J7" s="3"/>
      <c r="K7" s="3"/>
      <c r="L7" s="3"/>
      <c r="M7" s="3"/>
      <c r="N7" s="3"/>
      <c r="O7" s="3"/>
      <c r="P7" s="3"/>
      <c r="Q7" s="3"/>
      <c r="R7" s="3"/>
      <c r="S7" s="3"/>
    </row>
    <row r="8" spans="1:19" ht="13.5" customHeight="1">
      <c r="A8" s="3"/>
      <c r="B8" s="186"/>
      <c r="C8" s="984" t="str">
        <f>'Robot Analysis'!F6</f>
        <v>Robot Station #</v>
      </c>
      <c r="D8" s="985"/>
      <c r="E8" s="985"/>
      <c r="F8" s="985"/>
      <c r="G8" s="982" t="str">
        <f>'Robot Analysis'!G6</f>
        <v>LTVR4</v>
      </c>
      <c r="H8" s="982"/>
      <c r="I8" s="983"/>
      <c r="J8" s="3"/>
      <c r="K8" s="3"/>
      <c r="L8" s="3"/>
      <c r="M8" s="3"/>
      <c r="N8" s="3"/>
      <c r="O8" s="3"/>
      <c r="P8" s="3"/>
      <c r="Q8" s="3"/>
      <c r="R8" s="3"/>
      <c r="S8" s="3"/>
    </row>
    <row r="9" spans="1:19" ht="13.5" customHeight="1">
      <c r="A9" s="3"/>
      <c r="B9" s="186"/>
      <c r="C9" s="984" t="str">
        <f>'Robot Analysis'!F7</f>
        <v>Engineer</v>
      </c>
      <c r="D9" s="985"/>
      <c r="E9" s="985"/>
      <c r="F9" s="985"/>
      <c r="G9" s="982" t="str">
        <f>'Robot Analysis'!G7</f>
        <v>FFT/AUROM</v>
      </c>
      <c r="H9" s="982"/>
      <c r="I9" s="983"/>
      <c r="J9" s="202"/>
      <c r="K9" s="269"/>
      <c r="L9" s="269"/>
      <c r="M9" s="269"/>
      <c r="N9" s="264"/>
      <c r="O9" s="264"/>
      <c r="P9" s="264"/>
      <c r="Q9" s="264"/>
      <c r="R9" s="264"/>
      <c r="S9" s="264"/>
    </row>
    <row r="10" spans="1:19" ht="13.5" customHeight="1" thickBot="1">
      <c r="A10" s="264"/>
      <c r="B10" s="290"/>
      <c r="C10" s="986" t="str">
        <f>'Robot Analysis'!F8</f>
        <v>Comment</v>
      </c>
      <c r="D10" s="987"/>
      <c r="E10" s="987"/>
      <c r="F10" s="987"/>
      <c r="G10" s="988" t="str">
        <f>'Robot Analysis'!G8</f>
        <v>2 - LLENA</v>
      </c>
      <c r="H10" s="988"/>
      <c r="I10" s="98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195.17</v>
      </c>
      <c r="G9" s="355"/>
      <c r="H9" s="345"/>
      <c r="I9" s="345"/>
    </row>
    <row r="10" spans="1:12" ht="13.5">
      <c r="A10" s="345"/>
      <c r="B10" s="353"/>
      <c r="C10" s="356">
        <v>3</v>
      </c>
      <c r="D10" s="354" t="s">
        <v>3756</v>
      </c>
      <c r="E10" s="354" t="str">
        <f>IF($E$22=TRUE,"[m]","[cm]")</f>
        <v>[cm]</v>
      </c>
      <c r="F10" s="357">
        <f>IF(Load_Set_2=FALSE,"-",IF($E$22=TRUE,Load_Set_2/100,Load_Set_2))</f>
        <v>2.629</v>
      </c>
      <c r="G10" s="355"/>
      <c r="H10" s="345"/>
      <c r="I10" s="345"/>
    </row>
    <row r="11" spans="1:12" ht="13.5">
      <c r="A11" s="345"/>
      <c r="B11" s="353"/>
      <c r="C11" s="356">
        <v>4</v>
      </c>
      <c r="D11" s="354" t="s">
        <v>3011</v>
      </c>
      <c r="E11" s="354" t="str">
        <f>IF($E$22=TRUE,"[m]","[cm]")</f>
        <v>[cm]</v>
      </c>
      <c r="F11" s="357">
        <f>IF(Load_Set_3=FALSE,"-",IF($E$22=TRUE,Load_Set_3/100,Load_Set_3))</f>
        <v>-0.63200000000000001</v>
      </c>
      <c r="G11" s="355"/>
      <c r="H11" s="345"/>
      <c r="I11" s="345"/>
    </row>
    <row r="12" spans="1:12" ht="13.5">
      <c r="A12" s="345"/>
      <c r="B12" s="447"/>
      <c r="C12" s="356">
        <v>5</v>
      </c>
      <c r="D12" s="354" t="s">
        <v>350</v>
      </c>
      <c r="E12" s="354" t="str">
        <f>IF($E$22=TRUE,"[m]","[cm]")</f>
        <v>[cm]</v>
      </c>
      <c r="F12" s="357">
        <f>IF(Load_Set_4=FALSE,"-",IF($E$22=TRUE,Load_Set_4/100,Load_Set_4))</f>
        <v>1.538</v>
      </c>
      <c r="G12" s="355"/>
      <c r="H12" s="345"/>
      <c r="I12" s="345"/>
    </row>
    <row r="13" spans="1:12" ht="13.5">
      <c r="A13" s="345"/>
      <c r="B13" s="353"/>
      <c r="C13" s="356">
        <v>6</v>
      </c>
      <c r="D13" s="354" t="s">
        <v>1116</v>
      </c>
      <c r="E13" s="354" t="str">
        <f>IF($E$22=TRUE,"[kgm^2]","[kgfcms^2]")</f>
        <v>[kgfcms^2]</v>
      </c>
      <c r="F13" s="357">
        <f>IF(Load_Set_5=FALSE,"-",IF($E$22=TRUE,Load_Set_5*0.098,Load_Set_5))</f>
        <v>363.37299999999999</v>
      </c>
      <c r="G13" s="355"/>
      <c r="H13" s="345"/>
      <c r="I13" s="345"/>
    </row>
    <row r="14" spans="1:12" ht="13.5">
      <c r="A14" s="345"/>
      <c r="B14" s="353"/>
      <c r="C14" s="356">
        <v>7</v>
      </c>
      <c r="D14" s="354" t="s">
        <v>1847</v>
      </c>
      <c r="E14" s="354" t="str">
        <f>IF($E$22=TRUE,"[kgm^2]","[kgfcms^2]")</f>
        <v>[kgfcms^2]</v>
      </c>
      <c r="F14" s="357">
        <f>IF(Load_Set_6=FALSE,"-",IF($E$22=TRUE,Load_Set_6*0.098,Load_Set_6))</f>
        <v>161.25800000000001</v>
      </c>
      <c r="G14" s="355"/>
      <c r="H14" s="345"/>
      <c r="I14" s="345"/>
    </row>
    <row r="15" spans="1:12" ht="13.5">
      <c r="A15" s="345"/>
      <c r="B15" s="353"/>
      <c r="C15" s="356">
        <v>8</v>
      </c>
      <c r="D15" s="354" t="s">
        <v>3012</v>
      </c>
      <c r="E15" s="354" t="str">
        <f>IF($E$22=TRUE,"[kgm^2]","[kgfcms^2]")</f>
        <v>[kgfcms^2]</v>
      </c>
      <c r="F15" s="357">
        <f>IF(Load_Set_7=FALSE,"-",IF($E$22=TRUE,Load_Set_7*0.098,Load_Set_7))</f>
        <v>430.83</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93" t="s">
        <v>3309</v>
      </c>
      <c r="X7" s="994"/>
      <c r="Y7" s="994"/>
      <c r="Z7" s="994"/>
      <c r="AA7" s="994"/>
      <c r="AB7" s="994"/>
      <c r="AC7" s="995"/>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0" t="s">
        <v>3646</v>
      </c>
      <c r="AI8" s="991"/>
      <c r="AJ8" s="991"/>
      <c r="AK8" s="991"/>
      <c r="AL8" s="991"/>
      <c r="AM8" s="991"/>
      <c r="AN8" s="991"/>
      <c r="AO8" s="991"/>
      <c r="AP8" s="991"/>
      <c r="AQ8" s="991"/>
      <c r="AR8" s="991"/>
      <c r="AS8" s="992"/>
      <c r="AT8" s="990" t="s">
        <v>3647</v>
      </c>
      <c r="AU8" s="991"/>
      <c r="AV8" s="991"/>
      <c r="AW8" s="991"/>
      <c r="AX8" s="991"/>
      <c r="AY8" s="991"/>
      <c r="AZ8" s="991"/>
      <c r="BA8" s="991"/>
      <c r="BB8" s="991"/>
      <c r="BC8" s="991"/>
      <c r="BD8" s="991"/>
      <c r="BE8" s="992"/>
      <c r="BF8" s="990" t="s">
        <v>3648</v>
      </c>
      <c r="BG8" s="991"/>
      <c r="BH8" s="991"/>
      <c r="BI8" s="991"/>
      <c r="BJ8" s="991"/>
      <c r="BK8" s="991"/>
      <c r="BL8" s="991"/>
      <c r="BM8" s="991"/>
      <c r="BN8" s="991"/>
      <c r="BO8" s="991"/>
      <c r="BP8" s="991"/>
      <c r="BQ8" s="992"/>
      <c r="BR8" s="990" t="s">
        <v>3370</v>
      </c>
      <c r="BS8" s="991"/>
      <c r="BT8" s="991"/>
      <c r="BU8" s="991"/>
      <c r="BV8" s="991"/>
      <c r="BW8" s="991"/>
      <c r="BX8" s="991"/>
      <c r="BY8" s="991"/>
      <c r="BZ8" s="991"/>
      <c r="CA8" s="991"/>
      <c r="CB8" s="991"/>
      <c r="CC8" s="992"/>
      <c r="CD8" s="990" t="s">
        <v>3371</v>
      </c>
      <c r="CE8" s="991"/>
      <c r="CF8" s="991"/>
      <c r="CG8" s="991"/>
      <c r="CH8" s="991"/>
      <c r="CI8" s="991"/>
      <c r="CJ8" s="991"/>
      <c r="CK8" s="991"/>
      <c r="CL8" s="991"/>
      <c r="CM8" s="991"/>
      <c r="CN8" s="991"/>
      <c r="CO8" s="992"/>
      <c r="CP8" s="990" t="s">
        <v>3372</v>
      </c>
      <c r="CQ8" s="991"/>
      <c r="CR8" s="991"/>
      <c r="CS8" s="991"/>
      <c r="CT8" s="991"/>
      <c r="CU8" s="991"/>
      <c r="CV8" s="991"/>
      <c r="CW8" s="991"/>
      <c r="CX8" s="991"/>
      <c r="CY8" s="991"/>
      <c r="CZ8" s="991"/>
      <c r="DA8" s="992"/>
      <c r="DB8" s="990" t="s">
        <v>3373</v>
      </c>
      <c r="DC8" s="991"/>
      <c r="DD8" s="991"/>
      <c r="DE8" s="991"/>
      <c r="DF8" s="991"/>
      <c r="DG8" s="991"/>
      <c r="DH8" s="991"/>
      <c r="DI8" s="991"/>
      <c r="DJ8" s="991"/>
      <c r="DK8" s="991"/>
      <c r="DL8" s="991"/>
      <c r="DM8" s="992"/>
      <c r="DN8" s="990" t="s">
        <v>3374</v>
      </c>
      <c r="DO8" s="991"/>
      <c r="DP8" s="991"/>
      <c r="DQ8" s="991"/>
      <c r="DR8" s="991"/>
      <c r="DS8" s="991"/>
      <c r="DT8" s="991"/>
      <c r="DU8" s="991"/>
      <c r="DV8" s="991"/>
      <c r="DW8" s="991"/>
      <c r="DX8" s="991"/>
      <c r="DY8" s="992"/>
      <c r="DZ8" s="990" t="s">
        <v>3375</v>
      </c>
      <c r="EA8" s="991"/>
      <c r="EB8" s="991"/>
      <c r="EC8" s="991"/>
      <c r="ED8" s="991"/>
      <c r="EE8" s="991"/>
      <c r="EF8" s="991"/>
      <c r="EG8" s="991"/>
      <c r="EH8" s="991"/>
      <c r="EI8" s="991"/>
      <c r="EJ8" s="991"/>
      <c r="EK8" s="992"/>
      <c r="EL8" s="990" t="s">
        <v>3376</v>
      </c>
      <c r="EM8" s="991"/>
      <c r="EN8" s="991"/>
      <c r="EO8" s="991"/>
      <c r="EP8" s="991"/>
      <c r="EQ8" s="991"/>
      <c r="ER8" s="991"/>
      <c r="ES8" s="991"/>
      <c r="ET8" s="991"/>
      <c r="EU8" s="991"/>
      <c r="EV8" s="991"/>
      <c r="EW8" s="992"/>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214</v>
      </c>
    </row>
    <row r="4" spans="2:18">
      <c r="B4" s="5" t="s">
        <v>2961</v>
      </c>
      <c r="C4" s="212" t="str">
        <f>VLOOKUP(Anal_Robot_Code,Robotlist,2,FALSE)</f>
        <v>M-900iA/260L</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195.17</v>
      </c>
      <c r="H6" s="625" t="s">
        <v>2962</v>
      </c>
      <c r="I6" s="551">
        <f>IF((Anal_Payload_Code=1),Anal_Input_1,IF((Anal_Payload_Code=2),Anal_Input_1,0))</f>
        <v>195.17</v>
      </c>
      <c r="J6" s="551">
        <f>IF((Anal_Payload_Code=1),Anal_Input_1,IF((Anal_Payload_Code=2),Anal_Input_1,0))</f>
        <v>195.17</v>
      </c>
      <c r="K6" s="551">
        <f>IF((Anal_Payload_Code=1),Anal_Input_1,IF((Anal_Payload_Code=2),Anal_Input_1,0))</f>
        <v>195.17</v>
      </c>
      <c r="L6" s="7"/>
    </row>
    <row r="7" spans="2:18">
      <c r="B7" s="8" t="s">
        <v>2963</v>
      </c>
      <c r="C7" s="626">
        <f t="shared" ref="C7:C12" si="0">IF(Anal_Robot_Code=10105,J7,IF(Anal_Robot_Code=10112,J7,IF(Anal_Robot_Code=10111,K7,I7)))</f>
        <v>2.6293489999999999E-2</v>
      </c>
      <c r="D7" s="290"/>
      <c r="E7" s="290"/>
      <c r="H7" s="8" t="s">
        <v>2963</v>
      </c>
      <c r="I7" s="551">
        <f>IF((Anal_Payload_Code=1),Anal_Input_2,IF((Anal_Payload_Code=2),Anal_Input_2*0.01,0))</f>
        <v>2.6293489999999999E-2</v>
      </c>
      <c r="J7" s="552">
        <f>(0.007+L9)*SIN(RADIANS(30))+L7*COS(RADIANS(30))</f>
        <v>3.3959760294152097E-2</v>
      </c>
      <c r="K7" s="552">
        <f>(0.01+L9)*SIN(RADIANS(30))+L7*COS(RADIANS(30))</f>
        <v>3.5459760294152098E-2</v>
      </c>
      <c r="L7" s="439">
        <f>IF((Anal_Payload_Code=1),Anal_Input_2,IF((Anal_Payload_Code=2),Anal_Input_2*0.01,0))</f>
        <v>2.6293489999999999E-2</v>
      </c>
    </row>
    <row r="8" spans="2:18">
      <c r="B8" s="8" t="s">
        <v>2964</v>
      </c>
      <c r="C8" s="626">
        <f t="shared" si="0"/>
        <v>-6.3224939999999997E-3</v>
      </c>
      <c r="D8" s="290"/>
      <c r="E8" s="290"/>
      <c r="H8" s="8" t="s">
        <v>2964</v>
      </c>
      <c r="I8" s="551">
        <f>IF((Anal_Payload_Code=1),Anal_Input_3,IF((Anal_Payload_Code=2),Anal_Input_3*0.01,0))</f>
        <v>-6.3224939999999997E-3</v>
      </c>
      <c r="J8" s="551">
        <f>IF((Anal_Payload_Code=1),Anal_Input_3,IF((Anal_Payload_Code=2),Anal_Input_3*0.01,0))</f>
        <v>-6.3224939999999997E-3</v>
      </c>
      <c r="K8" s="551">
        <f>IF((Anal_Payload_Code=1),Anal_Input_3,IF((Anal_Payload_Code=2),Anal_Input_3*0.01,0))</f>
        <v>-6.3224939999999997E-3</v>
      </c>
      <c r="L8" s="7"/>
    </row>
    <row r="9" spans="2:18">
      <c r="B9" s="8" t="s">
        <v>840</v>
      </c>
      <c r="C9" s="626">
        <f t="shared" si="0"/>
        <v>1.537786E-2</v>
      </c>
      <c r="D9" s="290"/>
      <c r="E9" s="290"/>
      <c r="H9" s="8" t="s">
        <v>840</v>
      </c>
      <c r="I9" s="551">
        <f>IF((Anal_Payload_Code=1),Anal_Input_4,IF((Anal_Payload_Code=2),Anal_Input_4*0.01,0))</f>
        <v>1.537786E-2</v>
      </c>
      <c r="J9" s="552">
        <f>(0.007+L9)*COS(RADIANS(30))-L7*SIN(RADIANS(30))</f>
        <v>6.2330502423316413E-3</v>
      </c>
      <c r="K9" s="552">
        <f>(0.01+L9)*COS(RADIANS(30))-L7*SIN(RADIANS(30))</f>
        <v>8.8311264536849593E-3</v>
      </c>
      <c r="L9" s="439">
        <f>IF((Anal_Payload_Code=1),Anal_Input_4,IF((Anal_Payload_Code=2),Anal_Input_4*0.01,0))</f>
        <v>1.537786E-2</v>
      </c>
    </row>
    <row r="10" spans="2:18">
      <c r="B10" s="8" t="s">
        <v>2965</v>
      </c>
      <c r="C10" s="626">
        <f t="shared" si="0"/>
        <v>35.610509999999998</v>
      </c>
      <c r="D10" s="290"/>
      <c r="E10" s="290"/>
      <c r="H10" s="8" t="s">
        <v>2965</v>
      </c>
      <c r="I10" s="551">
        <f>IF((Anal_Payload_Code=1),Anal_Input_5,IF((Anal_Payload_Code=2),Anal_Input_5*0.098,0))</f>
        <v>35.610509999999998</v>
      </c>
      <c r="J10" s="552">
        <f>L10*(COS(RADIANS(30)))^2+L12*(SIN(RADIANS(30)))^2</f>
        <v>37.2632075</v>
      </c>
      <c r="K10" s="552">
        <f>L10*(COS(RADIANS(30)))^2+L12*(SIN(RADIANS(30)))^2</f>
        <v>37.2632075</v>
      </c>
      <c r="L10" s="439">
        <f>IF((Anal_Payload_Code=1),Anal_Input_5,IF((Anal_Payload_Code=2),Anal_Input_5*0.098,0))</f>
        <v>35.610509999999998</v>
      </c>
    </row>
    <row r="11" spans="2:18">
      <c r="B11" s="8" t="s">
        <v>2362</v>
      </c>
      <c r="C11" s="626">
        <f t="shared" si="0"/>
        <v>15.80325</v>
      </c>
      <c r="D11" s="290"/>
      <c r="E11" s="290"/>
      <c r="H11" s="8" t="s">
        <v>2362</v>
      </c>
      <c r="I11" s="551">
        <f>IF((Anal_Payload_Code=1),Anal_Input_6,IF((Anal_Payload_Code=2),Anal_Input_6*0.098,0))</f>
        <v>15.80325</v>
      </c>
      <c r="J11" s="551">
        <f>IF((Anal_Payload_Code=1),Anal_Input_6,IF((Anal_Payload_Code=2),Anal_Input_6*0.098,0))</f>
        <v>15.80325</v>
      </c>
      <c r="K11" s="551">
        <f>IF((Anal_Payload_Code=1),Anal_Input_6,IF((Anal_Payload_Code=2),Anal_Input_6*0.098,0))</f>
        <v>15.80325</v>
      </c>
      <c r="L11" s="7"/>
    </row>
    <row r="12" spans="2:18">
      <c r="B12" s="8" t="s">
        <v>2363</v>
      </c>
      <c r="C12" s="626">
        <f t="shared" si="0"/>
        <v>42.221299999999999</v>
      </c>
      <c r="D12" s="290"/>
      <c r="E12" s="290"/>
      <c r="H12" s="8" t="s">
        <v>2363</v>
      </c>
      <c r="I12" s="551">
        <f>IF((Anal_Payload_Code=1),Anal_Input_7,IF((Anal_Payload_Code=2),Anal_Input_7*0.098,0))</f>
        <v>42.221299999999999</v>
      </c>
      <c r="J12" s="552">
        <f>L12*(COS(RADIANS(30)))^2+L10*(SIN(RADIANS(30)))^2</f>
        <v>40.568602499999997</v>
      </c>
      <c r="K12" s="552">
        <f>L12*(COS(RADIANS(30)))^2+L10*(SIN(RADIANS(30)))^2</f>
        <v>40.568602499999997</v>
      </c>
      <c r="L12" s="439">
        <f>IF((Anal_Payload_Code=1),Anal_Input_7,IF((Anal_Payload_Code=2),Anal_Input_7*0.098,0))</f>
        <v>42.221299999999999</v>
      </c>
    </row>
    <row r="13" spans="2:18">
      <c r="B13" s="8" t="s">
        <v>2364</v>
      </c>
      <c r="C13" s="627">
        <f>IF(Anal_Flange_Code=1,VLOOKUP(Anal_Robot_Code,Table1,13),IF(Anal_Flange_Code=2,VLOOKUP(Anal_Robot_Code,Table1,14)))</f>
        <v>0.27</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195.17</v>
      </c>
      <c r="Y18" s="634"/>
    </row>
    <row r="19" spans="2:27" s="625" customFormat="1" ht="15" thickBot="1">
      <c r="B19" s="635"/>
      <c r="C19" s="631" t="s">
        <v>1863</v>
      </c>
      <c r="D19" s="632" t="s">
        <v>1861</v>
      </c>
      <c r="E19" s="633">
        <f t="shared" ref="E19:E24" si="1">C7</f>
        <v>2.6293489999999999E-2</v>
      </c>
      <c r="Y19" s="634"/>
    </row>
    <row r="20" spans="2:27" s="625" customFormat="1" ht="15" thickBot="1">
      <c r="B20" s="636" t="s">
        <v>3276</v>
      </c>
      <c r="C20" s="631" t="s">
        <v>3277</v>
      </c>
      <c r="D20" s="632" t="s">
        <v>1861</v>
      </c>
      <c r="E20" s="633">
        <f t="shared" si="1"/>
        <v>-6.3224939999999997E-3</v>
      </c>
      <c r="Y20" s="634"/>
    </row>
    <row r="21" spans="2:27" s="625" customFormat="1" ht="15" thickBot="1">
      <c r="B21" s="637"/>
      <c r="C21" s="631" t="s">
        <v>3278</v>
      </c>
      <c r="D21" s="632" t="s">
        <v>1861</v>
      </c>
      <c r="E21" s="633">
        <f t="shared" si="1"/>
        <v>1.537786E-2</v>
      </c>
      <c r="Y21" s="634"/>
    </row>
    <row r="22" spans="2:27" s="625" customFormat="1" ht="15" thickBot="1">
      <c r="B22" s="638"/>
      <c r="C22" s="631" t="s">
        <v>3279</v>
      </c>
      <c r="D22" s="632" t="s">
        <v>3280</v>
      </c>
      <c r="E22" s="633">
        <f t="shared" si="1"/>
        <v>35.610509999999998</v>
      </c>
      <c r="Y22" s="634"/>
      <c r="AA22" s="639"/>
    </row>
    <row r="23" spans="2:27" s="625" customFormat="1" ht="15" thickBot="1">
      <c r="B23" s="636" t="s">
        <v>3281</v>
      </c>
      <c r="C23" s="631" t="s">
        <v>3282</v>
      </c>
      <c r="D23" s="632" t="s">
        <v>3280</v>
      </c>
      <c r="E23" s="633">
        <f t="shared" si="1"/>
        <v>15.80325</v>
      </c>
      <c r="Y23" s="634"/>
    </row>
    <row r="24" spans="2:27" s="625" customFormat="1" ht="15" thickBot="1">
      <c r="B24" s="640"/>
      <c r="C24" s="631" t="s">
        <v>3283</v>
      </c>
      <c r="D24" s="632" t="s">
        <v>3280</v>
      </c>
      <c r="E24" s="633">
        <f t="shared" si="1"/>
        <v>42.221299999999999</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0.27</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548.27779270884446</v>
      </c>
      <c r="F31" s="643">
        <f>SQRT((SQRT($E$19^2+$E$20^2)+SQRT(($E$27+$E$28*COS($P$31*PI()/180))^2+$E$28^2*SIN($P$31*PI()/180)^2))^2+($E$21+$E$26)^2)</f>
        <v>0.28665631778305489</v>
      </c>
      <c r="H31" s="646" t="s">
        <v>2365</v>
      </c>
      <c r="I31" s="646" t="s">
        <v>19</v>
      </c>
      <c r="N31" s="652" t="s">
        <v>20</v>
      </c>
      <c r="O31" s="641"/>
      <c r="P31" s="633">
        <v>90</v>
      </c>
    </row>
    <row r="32" spans="2:27" s="625" customFormat="1" ht="14.25">
      <c r="B32" s="650" t="s">
        <v>21</v>
      </c>
      <c r="C32" s="649" t="s">
        <v>1618</v>
      </c>
      <c r="D32" s="643" t="s">
        <v>22</v>
      </c>
      <c r="E32" s="651">
        <f>$E$18*9.8*F32</f>
        <v>548.27779270884446</v>
      </c>
      <c r="F32" s="643">
        <f>SQRT((SQRT($E$19^2+$E$20^2)+$E$28*SIN($P$31*PI()/180))^2+($E$21+$E$26)^2)</f>
        <v>0.28665631778305489</v>
      </c>
      <c r="H32" s="646" t="s">
        <v>2366</v>
      </c>
      <c r="I32" s="646" t="s">
        <v>2162</v>
      </c>
      <c r="N32" s="646" t="s">
        <v>2163</v>
      </c>
    </row>
    <row r="33" spans="1:28" s="625" customFormat="1">
      <c r="B33" s="653"/>
      <c r="C33" s="649" t="s">
        <v>270</v>
      </c>
      <c r="D33" s="643" t="s">
        <v>2164</v>
      </c>
      <c r="E33" s="651">
        <f>$E$18*9.8*F33</f>
        <v>51.724145222857871</v>
      </c>
      <c r="F33" s="643">
        <f>SQRT($E$19^2+$E$20^2)</f>
        <v>2.7042957433685687E-2</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51.741783227124806</v>
      </c>
      <c r="F36" s="643">
        <f>$E$18*$F31^2+MAX($E$22:$E$24)</f>
        <v>58.258778895932494</v>
      </c>
      <c r="G36" s="654" t="s">
        <v>2181</v>
      </c>
      <c r="H36" s="655">
        <f>$J$43</f>
        <v>51.741758282620133</v>
      </c>
      <c r="I36" s="655">
        <f>$J$89</f>
        <v>51.741783227124806</v>
      </c>
      <c r="J36" s="643">
        <f>$N$89</f>
        <v>81.121737217159662</v>
      </c>
      <c r="K36" s="643">
        <f>$B$89</f>
        <v>6.4932652333732188E-2</v>
      </c>
    </row>
    <row r="37" spans="1:28" s="625" customFormat="1" ht="14.25">
      <c r="B37" s="650" t="s">
        <v>2182</v>
      </c>
      <c r="C37" s="649" t="s">
        <v>1618</v>
      </c>
      <c r="D37" s="643" t="s">
        <v>2180</v>
      </c>
      <c r="E37" s="651">
        <f>MAX(H37:I37)</f>
        <v>51.513112071357078</v>
      </c>
      <c r="F37" s="643">
        <f>$E$18*$F32^2+MAX($E$22:$E$23)</f>
        <v>51.647988895932485</v>
      </c>
      <c r="G37" s="655">
        <f>IF(E28=0,SQRT((E18*E19^2-E18*E20^2-E22+E23)^2/4+(E18*E19*E20)^2)+(E18*E19^2+E18*E20^2+E22+E23)/2+E18*(E21+E26)^2,"---")</f>
        <v>51.513112071357078</v>
      </c>
      <c r="H37" s="655">
        <f>$K$44</f>
        <v>51.513058581643584</v>
      </c>
      <c r="I37" s="655">
        <f>$K$90</f>
        <v>51.513112071357078</v>
      </c>
      <c r="J37" s="654" t="s">
        <v>2181</v>
      </c>
      <c r="K37" s="654">
        <f>$B$90</f>
        <v>89.905541120895137</v>
      </c>
    </row>
    <row r="38" spans="1:28" s="625" customFormat="1">
      <c r="B38" s="653"/>
      <c r="C38" s="649" t="s">
        <v>270</v>
      </c>
      <c r="D38" s="643" t="s">
        <v>2180</v>
      </c>
      <c r="E38" s="651">
        <f>G38</f>
        <v>42.364032026281173</v>
      </c>
      <c r="F38" s="643">
        <f>$E$18*$F33^2+$E$24</f>
        <v>42.364032026281173</v>
      </c>
      <c r="G38" s="655">
        <f>$E$18*($E$19^2+$E$20^2)+$E$24</f>
        <v>42.364032026281173</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51.741758282620133</v>
      </c>
    </row>
    <row r="44" spans="1:28" s="625" customFormat="1" ht="14.25">
      <c r="B44" s="629" t="s">
        <v>2905</v>
      </c>
      <c r="I44" s="658" t="s">
        <v>2906</v>
      </c>
      <c r="J44" s="643">
        <f>MAX(J46:J70)</f>
        <v>51.741758282620133</v>
      </c>
      <c r="K44" s="643">
        <f>MAX(K46:K70)</f>
        <v>51.513058581643584</v>
      </c>
      <c r="L44" s="659">
        <f>MAX(L46:L70)</f>
        <v>51.513058581643584</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2.6293489999999999E-2</v>
      </c>
      <c r="D46" s="643">
        <f t="shared" ref="D46:D70" si="3">$E$19*SIN(B46*PI()/180)+$E$20*COS(B46*PI()/180)</f>
        <v>-6.3224939999999997E-3</v>
      </c>
      <c r="E46" s="643">
        <f t="shared" ref="E46:E70" si="4">$E$22*COS(B46*PI()/180)^2+$E$23*SIN(B46*PI()/180)^2</f>
        <v>35.610509999999998</v>
      </c>
      <c r="F46" s="643">
        <f t="shared" ref="F46:F70" si="5">$E$22*SIN(B46*PI()/180)^2+$E$23*COS(B46*PI()/180)^2</f>
        <v>15.80325</v>
      </c>
      <c r="G46" s="643">
        <f t="shared" ref="G46:G70" si="6">($E$18*(C46+$E$28)^2-$E$18*($E$21+$E$26)^2+$E$24-E46)/2</f>
        <v>-4.5745132776812056</v>
      </c>
      <c r="H46" s="643">
        <f t="shared" ref="H46:H70" si="7">$E$18*(C46+$E$28)*($E$21+$E$26)</f>
        <v>1.4644736906700055</v>
      </c>
      <c r="I46" s="643">
        <f t="shared" ref="I46:I70" si="8">$E$18*((C46+$E$28)^2+($E$21+$E$26)^2)/2+$E$18*(D46+$E$27)^2+($E$24+E46)/2</f>
        <v>46.938545303962378</v>
      </c>
      <c r="J46" s="643">
        <f>SQRT(G46^2+H46^2)+I46</f>
        <v>51.741758282620133</v>
      </c>
      <c r="K46" s="643">
        <f t="shared" ref="K46:K70" si="9">$E$18*((C46+$E$28)^2+($E$21+$E$26)^2)+F46</f>
        <v>31.832927183940221</v>
      </c>
      <c r="L46" s="670">
        <f t="shared" ref="L46:L70" si="10">$E$18*((D46+$E$28)^2+($E$21+$E$26)^2)+E46</f>
        <v>51.513058581643584</v>
      </c>
      <c r="M46" s="671"/>
      <c r="N46" s="638">
        <f>O53*180/PI()-INT(O53*180/PI()/360)*360</f>
        <v>89.905541120895137</v>
      </c>
      <c r="O46" s="643">
        <f>INDEX($B46:$B72,MATCH(K44,K46:K70,0))</f>
        <v>90</v>
      </c>
      <c r="P46" s="643">
        <f>($E$18*$E$19^2-$E$18*$E$20^2+$E$23-$E$22)/2</f>
        <v>-9.8400656988516815</v>
      </c>
      <c r="Q46" s="643">
        <f>-$E$18*$E$19*$E$20</f>
        <v>3.2445145262561585E-2</v>
      </c>
      <c r="R46" s="672" t="s">
        <v>1320</v>
      </c>
      <c r="T46" s="673"/>
      <c r="U46" s="674" t="s">
        <v>1321</v>
      </c>
      <c r="V46" s="675"/>
      <c r="W46" s="675"/>
      <c r="X46" s="675"/>
      <c r="Y46" s="675"/>
      <c r="Z46" s="675"/>
      <c r="AA46" s="675"/>
      <c r="AB46" s="676"/>
    </row>
    <row r="47" spans="1:28" s="625" customFormat="1">
      <c r="A47" s="643">
        <f>A46+1</f>
        <v>1</v>
      </c>
      <c r="B47" s="643">
        <f>B46+15</f>
        <v>15</v>
      </c>
      <c r="C47" s="643">
        <f t="shared" si="2"/>
        <v>2.7033942914019771E-2</v>
      </c>
      <c r="D47" s="643">
        <f t="shared" si="3"/>
        <v>6.9819573305500166E-4</v>
      </c>
      <c r="E47" s="643">
        <f t="shared" si="4"/>
        <v>34.283675169681679</v>
      </c>
      <c r="F47" s="643">
        <f t="shared" si="5"/>
        <v>17.130084830318321</v>
      </c>
      <c r="G47" s="643">
        <f t="shared" si="6"/>
        <v>-3.9072425769964401</v>
      </c>
      <c r="H47" s="643">
        <f t="shared" si="7"/>
        <v>1.505714842444148</v>
      </c>
      <c r="I47" s="643">
        <f t="shared" si="8"/>
        <v>46.271274603277611</v>
      </c>
      <c r="J47" s="643">
        <f t="shared" ref="J47:J70" si="11">SQRT(G47^2+H47^2)+I47</f>
        <v>50.458603315266963</v>
      </c>
      <c r="K47" s="643">
        <f t="shared" si="9"/>
        <v>33.167468585309749</v>
      </c>
      <c r="L47" s="670">
        <f t="shared" si="10"/>
        <v>50.178517180274056</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2.59320772941521E-2</v>
      </c>
      <c r="D48" s="643">
        <f t="shared" si="3"/>
        <v>7.6713045807253067E-3</v>
      </c>
      <c r="E48" s="643">
        <f t="shared" si="4"/>
        <v>30.658695000000002</v>
      </c>
      <c r="F48" s="643">
        <f t="shared" si="5"/>
        <v>20.755065000000002</v>
      </c>
      <c r="G48" s="643">
        <f t="shared" si="6"/>
        <v>-2.1004476929548588</v>
      </c>
      <c r="H48" s="643">
        <f t="shared" si="7"/>
        <v>1.4443440160171499</v>
      </c>
      <c r="I48" s="643">
        <f t="shared" si="8"/>
        <v>44.464479719236039</v>
      </c>
      <c r="J48" s="643">
        <f t="shared" si="11"/>
        <v>47.013599203968745</v>
      </c>
      <c r="K48" s="643">
        <f t="shared" si="9"/>
        <v>36.781058353392922</v>
      </c>
      <c r="L48" s="670">
        <f t="shared" si="10"/>
        <v>46.564927412190897</v>
      </c>
      <c r="M48" s="671"/>
      <c r="N48" s="643">
        <v>1</v>
      </c>
      <c r="O48" s="643">
        <f>O46*PI()/180</f>
        <v>1.5707963267948966</v>
      </c>
      <c r="P48" s="643">
        <f t="shared" ref="P48:P53" si="14">-2*$P$46*SIN(2*O48)+2*$Q$46*COS(2*O48)+2*$E$18*$E$28*(-$E$19*SIN(O48)-$E$20*COS(O48))</f>
        <v>-6.4890290525120756E-2</v>
      </c>
      <c r="Q48" s="643">
        <f t="shared" ref="Q48:Q53" si="15">-4*$P$46*COS(2*O48)-4*$Q$46*SIN(2*O48)+2*$E$18*$E$28*(-$E$19*COS(O48)+$E$20*SIN(O48))</f>
        <v>-39.360262795406726</v>
      </c>
      <c r="R48" s="643">
        <f t="shared" ref="R48:R53" si="16">IF(Q48=0,O48,O48-P48/Q48)</f>
        <v>1.5691477023722797</v>
      </c>
      <c r="T48" s="673"/>
      <c r="U48" s="674" t="s">
        <v>2383</v>
      </c>
      <c r="V48" s="675"/>
      <c r="W48" s="675"/>
      <c r="X48" s="675"/>
      <c r="Y48" s="675"/>
      <c r="Z48" s="675"/>
      <c r="AA48" s="675"/>
      <c r="AB48" s="676"/>
    </row>
    <row r="49" spans="1:28" s="625" customFormat="1">
      <c r="A49" s="643">
        <f t="shared" si="12"/>
        <v>3</v>
      </c>
      <c r="B49" s="643">
        <f t="shared" si="13"/>
        <v>45</v>
      </c>
      <c r="C49" s="643">
        <f t="shared" si="2"/>
        <v>2.3062983461471936E-2</v>
      </c>
      <c r="D49" s="643">
        <f t="shared" si="3"/>
        <v>1.4121626698649414E-2</v>
      </c>
      <c r="E49" s="643">
        <f t="shared" si="4"/>
        <v>25.706880000000002</v>
      </c>
      <c r="F49" s="643">
        <f t="shared" si="5"/>
        <v>25.706879999999998</v>
      </c>
      <c r="G49" s="643">
        <f t="shared" si="6"/>
        <v>0.36174214437591523</v>
      </c>
      <c r="H49" s="643">
        <f t="shared" si="7"/>
        <v>1.2845435317899261</v>
      </c>
      <c r="I49" s="643">
        <f t="shared" si="8"/>
        <v>42.002289881905256</v>
      </c>
      <c r="J49" s="643">
        <f t="shared" si="11"/>
        <v>43.336797080867115</v>
      </c>
      <c r="K49" s="643">
        <f t="shared" si="9"/>
        <v>41.705438028054466</v>
      </c>
      <c r="L49" s="670">
        <f t="shared" si="10"/>
        <v>41.640547737529346</v>
      </c>
      <c r="M49" s="671"/>
      <c r="N49" s="643">
        <f>N48+1</f>
        <v>2</v>
      </c>
      <c r="O49" s="643">
        <f>R48</f>
        <v>1.5691477023722797</v>
      </c>
      <c r="P49" s="643">
        <f t="shared" si="14"/>
        <v>2.3515891442449366E-7</v>
      </c>
      <c r="Q49" s="643">
        <f t="shared" si="15"/>
        <v>-39.360476754260695</v>
      </c>
      <c r="R49" s="643">
        <f t="shared" si="16"/>
        <v>1.5691477083467733</v>
      </c>
      <c r="T49" s="673"/>
      <c r="U49" s="674" t="s">
        <v>2384</v>
      </c>
      <c r="V49" s="675"/>
      <c r="W49" s="675"/>
      <c r="X49" s="675" t="s">
        <v>2385</v>
      </c>
      <c r="Y49" s="675"/>
      <c r="Z49" s="675"/>
      <c r="AA49" s="675"/>
      <c r="AB49" s="676"/>
    </row>
    <row r="50" spans="1:28" s="625" customFormat="1">
      <c r="A50" s="643">
        <f t="shared" si="12"/>
        <v>4</v>
      </c>
      <c r="B50" s="643">
        <f t="shared" si="13"/>
        <v>60</v>
      </c>
      <c r="C50" s="643">
        <f t="shared" si="2"/>
        <v>1.8622185419274694E-2</v>
      </c>
      <c r="D50" s="643">
        <f t="shared" si="3"/>
        <v>1.9609583294152098E-2</v>
      </c>
      <c r="E50" s="643">
        <f t="shared" si="4"/>
        <v>20.755065000000002</v>
      </c>
      <c r="F50" s="643">
        <f t="shared" si="5"/>
        <v>30.658694999999994</v>
      </c>
      <c r="G50" s="643">
        <f t="shared" si="6"/>
        <v>2.819585156470982</v>
      </c>
      <c r="H50" s="643">
        <f t="shared" si="7"/>
        <v>1.0372035286797749</v>
      </c>
      <c r="I50" s="643">
        <f t="shared" si="8"/>
        <v>39.544446869810194</v>
      </c>
      <c r="J50" s="643">
        <f t="shared" si="11"/>
        <v>42.548752382652935</v>
      </c>
      <c r="K50" s="643">
        <f t="shared" si="9"/>
        <v>46.621124052244596</v>
      </c>
      <c r="L50" s="670">
        <f t="shared" si="10"/>
        <v>36.724861713339209</v>
      </c>
      <c r="M50" s="671"/>
      <c r="N50" s="643">
        <f>N49+1</f>
        <v>3</v>
      </c>
      <c r="O50" s="643">
        <f>R49</f>
        <v>1.5691477083467733</v>
      </c>
      <c r="P50" s="643">
        <f t="shared" si="14"/>
        <v>-7.2164496600635175E-16</v>
      </c>
      <c r="Q50" s="643">
        <f t="shared" si="15"/>
        <v>-39.360476754260695</v>
      </c>
      <c r="R50" s="643">
        <f t="shared" si="16"/>
        <v>1.5691477083467733</v>
      </c>
      <c r="T50" s="673"/>
      <c r="U50" s="674" t="s">
        <v>2386</v>
      </c>
      <c r="V50" s="675"/>
      <c r="W50" s="675"/>
      <c r="X50" s="675"/>
      <c r="Y50" s="675"/>
      <c r="Z50" s="675" t="s">
        <v>2387</v>
      </c>
      <c r="AA50" s="675"/>
      <c r="AB50" s="676"/>
    </row>
    <row r="51" spans="1:28" s="625" customFormat="1">
      <c r="A51" s="643">
        <f t="shared" si="12"/>
        <v>5</v>
      </c>
      <c r="B51" s="643">
        <f t="shared" si="13"/>
        <v>75</v>
      </c>
      <c r="C51" s="643">
        <f t="shared" si="2"/>
        <v>1.2912316215370354E-2</v>
      </c>
      <c r="D51" s="643">
        <f t="shared" si="3"/>
        <v>2.376117919452694E-2</v>
      </c>
      <c r="E51" s="643">
        <f t="shared" si="4"/>
        <v>17.130084830318321</v>
      </c>
      <c r="F51" s="643">
        <f t="shared" si="5"/>
        <v>34.283675169681679</v>
      </c>
      <c r="G51" s="643">
        <f t="shared" si="6"/>
        <v>4.6145042931169922</v>
      </c>
      <c r="H51" s="643">
        <f t="shared" si="7"/>
        <v>0.7191798191499712</v>
      </c>
      <c r="I51" s="643">
        <f t="shared" si="8"/>
        <v>37.749527733164186</v>
      </c>
      <c r="J51" s="643">
        <f t="shared" si="11"/>
        <v>42.419738593871415</v>
      </c>
      <c r="K51" s="643">
        <f t="shared" si="9"/>
        <v>50.210962325536613</v>
      </c>
      <c r="L51" s="670">
        <f t="shared" si="10"/>
        <v>33.135023440047192</v>
      </c>
      <c r="M51" s="671"/>
      <c r="N51" s="643">
        <f>N50+1</f>
        <v>4</v>
      </c>
      <c r="O51" s="643">
        <f>R50</f>
        <v>1.5691477083467733</v>
      </c>
      <c r="P51" s="643">
        <f t="shared" si="14"/>
        <v>-7.2164496600635175E-16</v>
      </c>
      <c r="Q51" s="643">
        <f t="shared" si="15"/>
        <v>-39.360476754260695</v>
      </c>
      <c r="R51" s="643">
        <f t="shared" si="16"/>
        <v>1.5691477083467733</v>
      </c>
      <c r="T51" s="679"/>
      <c r="U51" s="680" t="s">
        <v>2388</v>
      </c>
      <c r="V51" s="681"/>
      <c r="W51" s="681"/>
      <c r="X51" s="681"/>
      <c r="Y51" s="681"/>
      <c r="Z51" s="681"/>
      <c r="AA51" s="681"/>
      <c r="AB51" s="682"/>
    </row>
    <row r="52" spans="1:28" s="625" customFormat="1">
      <c r="A52" s="643">
        <f t="shared" si="12"/>
        <v>6</v>
      </c>
      <c r="B52" s="643">
        <f t="shared" si="13"/>
        <v>90</v>
      </c>
      <c r="C52" s="643">
        <f t="shared" si="2"/>
        <v>6.3224940000000014E-3</v>
      </c>
      <c r="D52" s="643">
        <f t="shared" si="3"/>
        <v>2.6293489999999999E-2</v>
      </c>
      <c r="E52" s="643">
        <f t="shared" si="4"/>
        <v>15.80325</v>
      </c>
      <c r="F52" s="643">
        <f t="shared" si="5"/>
        <v>35.610509999999998</v>
      </c>
      <c r="G52" s="643">
        <f t="shared" si="6"/>
        <v>5.2655524211704785</v>
      </c>
      <c r="H52" s="643">
        <f t="shared" si="7"/>
        <v>0.35214519344594297</v>
      </c>
      <c r="I52" s="643">
        <f t="shared" si="8"/>
        <v>37.098479605110697</v>
      </c>
      <c r="J52" s="643">
        <f t="shared" si="11"/>
        <v>42.375794124576196</v>
      </c>
      <c r="K52" s="643">
        <f t="shared" si="9"/>
        <v>51.513058581643584</v>
      </c>
      <c r="L52" s="670">
        <f t="shared" si="10"/>
        <v>31.832927183940221</v>
      </c>
      <c r="M52" s="671"/>
      <c r="N52" s="643">
        <f>N51+1</f>
        <v>5</v>
      </c>
      <c r="O52" s="643">
        <f>R51</f>
        <v>1.5691477083467733</v>
      </c>
      <c r="P52" s="643">
        <f t="shared" si="14"/>
        <v>-7.2164496600635175E-16</v>
      </c>
      <c r="Q52" s="643">
        <f t="shared" si="15"/>
        <v>-39.360476754260695</v>
      </c>
      <c r="R52" s="643">
        <f t="shared" si="16"/>
        <v>1.5691477083467733</v>
      </c>
      <c r="T52" s="666" t="s">
        <v>2055</v>
      </c>
      <c r="U52" s="667" t="s">
        <v>2056</v>
      </c>
      <c r="V52" s="668"/>
      <c r="W52" s="668"/>
      <c r="X52" s="668"/>
      <c r="Y52" s="668"/>
      <c r="Z52" s="668"/>
      <c r="AA52" s="668"/>
      <c r="AB52" s="669"/>
    </row>
    <row r="53" spans="1:28" s="625" customFormat="1">
      <c r="A53" s="643">
        <f t="shared" si="12"/>
        <v>7</v>
      </c>
      <c r="B53" s="643">
        <f t="shared" si="13"/>
        <v>105</v>
      </c>
      <c r="C53" s="643">
        <f t="shared" si="2"/>
        <v>-6.9819573305500426E-4</v>
      </c>
      <c r="D53" s="643">
        <f t="shared" si="3"/>
        <v>2.7033942914019775E-2</v>
      </c>
      <c r="E53" s="643">
        <f t="shared" si="4"/>
        <v>17.130084830318324</v>
      </c>
      <c r="F53" s="643">
        <f t="shared" si="5"/>
        <v>34.283675169681679</v>
      </c>
      <c r="G53" s="643">
        <f t="shared" si="6"/>
        <v>4.5982817204857103</v>
      </c>
      <c r="H53" s="643">
        <f t="shared" si="7"/>
        <v>-3.8887545243979103E-2</v>
      </c>
      <c r="I53" s="643">
        <f t="shared" si="8"/>
        <v>37.765750305795464</v>
      </c>
      <c r="J53" s="643">
        <f t="shared" si="11"/>
        <v>42.36419645880499</v>
      </c>
      <c r="K53" s="643">
        <f t="shared" si="9"/>
        <v>50.178517180274056</v>
      </c>
      <c r="L53" s="670">
        <f t="shared" si="10"/>
        <v>33.167468585309756</v>
      </c>
      <c r="M53" s="671"/>
      <c r="N53" s="643">
        <f>N52+1</f>
        <v>6</v>
      </c>
      <c r="O53" s="643">
        <f>R52</f>
        <v>1.5691477083467733</v>
      </c>
      <c r="P53" s="643">
        <f t="shared" si="14"/>
        <v>-7.2164496600635175E-16</v>
      </c>
      <c r="Q53" s="643">
        <f t="shared" si="15"/>
        <v>-39.360476754260695</v>
      </c>
      <c r="R53" s="643">
        <f t="shared" si="16"/>
        <v>1.5691477083467733</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-7.6713045807253032E-3</v>
      </c>
      <c r="D54" s="643">
        <f t="shared" si="3"/>
        <v>2.59320772941521E-2</v>
      </c>
      <c r="E54" s="643">
        <f t="shared" si="4"/>
        <v>20.755064999999995</v>
      </c>
      <c r="F54" s="643">
        <f t="shared" si="5"/>
        <v>30.658695000000002</v>
      </c>
      <c r="G54" s="643">
        <f t="shared" si="6"/>
        <v>2.7914868364441325</v>
      </c>
      <c r="H54" s="643">
        <f t="shared" si="7"/>
        <v>-0.42727016199023038</v>
      </c>
      <c r="I54" s="643">
        <f t="shared" si="8"/>
        <v>39.572545189837044</v>
      </c>
      <c r="J54" s="643">
        <f t="shared" si="11"/>
        <v>42.396542100134226</v>
      </c>
      <c r="K54" s="643">
        <f t="shared" si="9"/>
        <v>46.564927412190897</v>
      </c>
      <c r="L54" s="670">
        <f t="shared" si="10"/>
        <v>36.781058353392908</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-1.4121626698649414E-2</v>
      </c>
      <c r="D55" s="643">
        <f t="shared" si="3"/>
        <v>2.3062983461471936E-2</v>
      </c>
      <c r="E55" s="643">
        <f t="shared" si="4"/>
        <v>25.706879999999998</v>
      </c>
      <c r="F55" s="643">
        <f t="shared" si="5"/>
        <v>25.706880000000002</v>
      </c>
      <c r="G55" s="643">
        <f t="shared" si="6"/>
        <v>0.32929699911335675</v>
      </c>
      <c r="H55" s="643">
        <f t="shared" si="7"/>
        <v>-0.78653502329417624</v>
      </c>
      <c r="I55" s="643">
        <f t="shared" si="8"/>
        <v>42.03473502716782</v>
      </c>
      <c r="J55" s="643">
        <f t="shared" si="11"/>
        <v>42.887421286288621</v>
      </c>
      <c r="K55" s="643">
        <f t="shared" si="9"/>
        <v>41.640547737529346</v>
      </c>
      <c r="L55" s="670">
        <f t="shared" si="10"/>
        <v>41.705438028054466</v>
      </c>
      <c r="M55" s="671"/>
      <c r="T55" s="673"/>
      <c r="U55" s="674" t="s">
        <v>2062</v>
      </c>
      <c r="V55" s="675"/>
      <c r="W55" s="675"/>
      <c r="X55" s="675"/>
      <c r="Y55" s="675"/>
      <c r="Z55" s="675"/>
      <c r="AA55" s="675"/>
      <c r="AB55" s="676"/>
    </row>
    <row r="56" spans="1:28" s="625" customFormat="1">
      <c r="A56" s="643">
        <f t="shared" si="12"/>
        <v>10</v>
      </c>
      <c r="B56" s="643">
        <f t="shared" si="13"/>
        <v>150</v>
      </c>
      <c r="C56" s="643">
        <f t="shared" si="2"/>
        <v>-1.9609583294152102E-2</v>
      </c>
      <c r="D56" s="643">
        <f t="shared" si="3"/>
        <v>1.8622185419274691E-2</v>
      </c>
      <c r="E56" s="643">
        <f t="shared" si="4"/>
        <v>30.658695000000002</v>
      </c>
      <c r="F56" s="643">
        <f t="shared" si="5"/>
        <v>20.755065000000002</v>
      </c>
      <c r="G56" s="643">
        <f t="shared" si="6"/>
        <v>-2.1285460129817135</v>
      </c>
      <c r="H56" s="643">
        <f t="shared" si="7"/>
        <v>-1.0921988225712072</v>
      </c>
      <c r="I56" s="643">
        <f t="shared" si="8"/>
        <v>44.492578039262895</v>
      </c>
      <c r="J56" s="643">
        <f>SQRT(G56^2+H56^2)+I56</f>
        <v>46.884984024334464</v>
      </c>
      <c r="K56" s="643">
        <f t="shared" si="9"/>
        <v>36.724861713339209</v>
      </c>
      <c r="L56" s="670">
        <f t="shared" si="10"/>
        <v>46.621124052244603</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-2.3761179194526933E-2</v>
      </c>
      <c r="D57" s="643">
        <f t="shared" si="3"/>
        <v>1.2912316215370361E-2</v>
      </c>
      <c r="E57" s="643">
        <f t="shared" si="4"/>
        <v>34.283675169681672</v>
      </c>
      <c r="F57" s="643">
        <f t="shared" si="5"/>
        <v>17.130084830318324</v>
      </c>
      <c r="G57" s="643">
        <f t="shared" si="6"/>
        <v>-3.9234651496277166</v>
      </c>
      <c r="H57" s="643">
        <f t="shared" si="7"/>
        <v>-1.3234310770339048</v>
      </c>
      <c r="I57" s="643">
        <f t="shared" si="8"/>
        <v>46.287497175908889</v>
      </c>
      <c r="J57" s="643">
        <f t="shared" si="11"/>
        <v>50.428155166615483</v>
      </c>
      <c r="K57" s="643">
        <f t="shared" si="9"/>
        <v>33.135023440047192</v>
      </c>
      <c r="L57" s="670">
        <f t="shared" si="10"/>
        <v>50.210962325536613</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-2.6293489999999999E-2</v>
      </c>
      <c r="D58" s="643">
        <f t="shared" si="3"/>
        <v>6.3224940000000032E-3</v>
      </c>
      <c r="E58" s="643">
        <f t="shared" si="4"/>
        <v>35.610509999999998</v>
      </c>
      <c r="F58" s="643">
        <f t="shared" si="5"/>
        <v>15.80325</v>
      </c>
      <c r="G58" s="643">
        <f t="shared" si="6"/>
        <v>-4.5745132776812056</v>
      </c>
      <c r="H58" s="643">
        <f t="shared" si="7"/>
        <v>-1.4644736906700055</v>
      </c>
      <c r="I58" s="643">
        <f t="shared" si="8"/>
        <v>46.938545303962378</v>
      </c>
      <c r="J58" s="643">
        <f t="shared" si="11"/>
        <v>51.741758282620133</v>
      </c>
      <c r="K58" s="643">
        <f t="shared" si="9"/>
        <v>31.832927183940221</v>
      </c>
      <c r="L58" s="670">
        <f t="shared" si="10"/>
        <v>51.513058581643584</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-2.7033942914019771E-2</v>
      </c>
      <c r="D59" s="643">
        <f t="shared" si="3"/>
        <v>-6.9819573305499039E-4</v>
      </c>
      <c r="E59" s="643">
        <f t="shared" si="4"/>
        <v>34.283675169681686</v>
      </c>
      <c r="F59" s="643">
        <f t="shared" si="5"/>
        <v>17.130084830318317</v>
      </c>
      <c r="G59" s="643">
        <f t="shared" si="6"/>
        <v>-3.9072425769964436</v>
      </c>
      <c r="H59" s="643">
        <f t="shared" si="7"/>
        <v>-1.505714842444148</v>
      </c>
      <c r="I59" s="643">
        <f t="shared" si="8"/>
        <v>46.271274603277618</v>
      </c>
      <c r="J59" s="643">
        <f t="shared" si="11"/>
        <v>50.45860331526697</v>
      </c>
      <c r="K59" s="643">
        <f t="shared" si="9"/>
        <v>33.167468585309749</v>
      </c>
      <c r="L59" s="670">
        <f t="shared" si="10"/>
        <v>50.178517180274063</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-2.5932077294152096E-2</v>
      </c>
      <c r="D60" s="643">
        <f t="shared" si="3"/>
        <v>-7.6713045807253128E-3</v>
      </c>
      <c r="E60" s="643">
        <f t="shared" si="4"/>
        <v>30.658694999999994</v>
      </c>
      <c r="F60" s="643">
        <f t="shared" si="5"/>
        <v>20.755065000000002</v>
      </c>
      <c r="G60" s="643">
        <f t="shared" si="6"/>
        <v>-2.1004476929548552</v>
      </c>
      <c r="H60" s="643">
        <f t="shared" si="7"/>
        <v>-1.4443440160171499</v>
      </c>
      <c r="I60" s="643">
        <f t="shared" si="8"/>
        <v>44.464479719236031</v>
      </c>
      <c r="J60" s="643">
        <f t="shared" si="11"/>
        <v>47.013599203968738</v>
      </c>
      <c r="K60" s="643">
        <f t="shared" si="9"/>
        <v>36.781058353392922</v>
      </c>
      <c r="L60" s="670">
        <f t="shared" si="10"/>
        <v>46.564927412190883</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-2.3062983461471939E-2</v>
      </c>
      <c r="D61" s="643">
        <f t="shared" si="3"/>
        <v>-1.4121626698649413E-2</v>
      </c>
      <c r="E61" s="643">
        <f t="shared" si="4"/>
        <v>25.706880000000005</v>
      </c>
      <c r="F61" s="643">
        <f t="shared" si="5"/>
        <v>25.706879999999998</v>
      </c>
      <c r="G61" s="643">
        <f t="shared" si="6"/>
        <v>0.36174214437591345</v>
      </c>
      <c r="H61" s="643">
        <f t="shared" si="7"/>
        <v>-1.2845435317899263</v>
      </c>
      <c r="I61" s="643">
        <f t="shared" si="8"/>
        <v>42.002289881905256</v>
      </c>
      <c r="J61" s="643">
        <f t="shared" si="11"/>
        <v>43.336797080867115</v>
      </c>
      <c r="K61" s="643">
        <f t="shared" si="9"/>
        <v>41.705438028054466</v>
      </c>
      <c r="L61" s="670">
        <f t="shared" si="10"/>
        <v>41.640547737529346</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-1.8622185419274701E-2</v>
      </c>
      <c r="D62" s="643">
        <f t="shared" si="3"/>
        <v>-1.9609583294152088E-2</v>
      </c>
      <c r="E62" s="643">
        <f t="shared" si="4"/>
        <v>20.755065000000009</v>
      </c>
      <c r="F62" s="643">
        <f t="shared" si="5"/>
        <v>30.658694999999991</v>
      </c>
      <c r="G62" s="643">
        <f t="shared" si="6"/>
        <v>2.8195851564709784</v>
      </c>
      <c r="H62" s="643">
        <f t="shared" si="7"/>
        <v>-1.0372035286797754</v>
      </c>
      <c r="I62" s="643">
        <f t="shared" si="8"/>
        <v>39.544446869810194</v>
      </c>
      <c r="J62" s="643">
        <f t="shared" si="11"/>
        <v>42.548752382652928</v>
      </c>
      <c r="K62" s="643">
        <f t="shared" si="9"/>
        <v>46.621124052244589</v>
      </c>
      <c r="L62" s="670">
        <f t="shared" si="10"/>
        <v>36.724861713339216</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-1.291231621537035E-2</v>
      </c>
      <c r="D63" s="643">
        <f t="shared" si="3"/>
        <v>-2.376117919452694E-2</v>
      </c>
      <c r="E63" s="643">
        <f t="shared" si="4"/>
        <v>17.130084830318317</v>
      </c>
      <c r="F63" s="643">
        <f t="shared" si="5"/>
        <v>34.283675169681679</v>
      </c>
      <c r="G63" s="643">
        <f t="shared" si="6"/>
        <v>4.6145042931169939</v>
      </c>
      <c r="H63" s="643">
        <f t="shared" si="7"/>
        <v>-0.71917981914997109</v>
      </c>
      <c r="I63" s="643">
        <f t="shared" si="8"/>
        <v>37.749527733164179</v>
      </c>
      <c r="J63" s="643">
        <f t="shared" si="11"/>
        <v>42.419738593871408</v>
      </c>
      <c r="K63" s="643">
        <f t="shared" si="9"/>
        <v>50.210962325536613</v>
      </c>
      <c r="L63" s="670">
        <f t="shared" si="10"/>
        <v>33.135023440047185</v>
      </c>
      <c r="M63" s="671"/>
      <c r="N63" s="638">
        <f>O70*180/PI()-INT(O70*180/PI()/360)*360</f>
        <v>6.4932652333732188E-2</v>
      </c>
      <c r="O63" s="638">
        <f>INDEX($B73:$B85,MATCH($J$43,$J$73:$J$85,0))</f>
        <v>0</v>
      </c>
      <c r="P63" s="653"/>
      <c r="Q63" s="687"/>
      <c r="R63" s="687"/>
      <c r="S63" s="687"/>
      <c r="V63" s="687"/>
      <c r="W63" s="687"/>
      <c r="X63" s="687"/>
      <c r="Y63" s="687"/>
      <c r="Z63" s="687"/>
      <c r="AA63" s="687"/>
      <c r="AB63" s="688"/>
    </row>
    <row r="64" spans="1:28" s="625" customFormat="1">
      <c r="A64" s="643">
        <f t="shared" si="12"/>
        <v>18</v>
      </c>
      <c r="B64" s="643">
        <f t="shared" si="13"/>
        <v>270</v>
      </c>
      <c r="C64" s="643">
        <f t="shared" si="2"/>
        <v>-6.3224940000000049E-3</v>
      </c>
      <c r="D64" s="643">
        <f t="shared" si="3"/>
        <v>-2.6293489999999999E-2</v>
      </c>
      <c r="E64" s="643">
        <f t="shared" si="4"/>
        <v>15.80325</v>
      </c>
      <c r="F64" s="643">
        <f t="shared" si="5"/>
        <v>35.610509999999998</v>
      </c>
      <c r="G64" s="643">
        <f t="shared" si="6"/>
        <v>5.2655524211704785</v>
      </c>
      <c r="H64" s="643">
        <f t="shared" si="7"/>
        <v>-0.35214519344594319</v>
      </c>
      <c r="I64" s="643">
        <f t="shared" si="8"/>
        <v>37.098479605110697</v>
      </c>
      <c r="J64" s="643">
        <f t="shared" si="11"/>
        <v>42.375794124576196</v>
      </c>
      <c r="K64" s="643">
        <f t="shared" si="9"/>
        <v>51.513058581643584</v>
      </c>
      <c r="L64" s="670">
        <f t="shared" si="10"/>
        <v>31.832927183940221</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6.9819573305501294E-4</v>
      </c>
      <c r="D65" s="643">
        <f t="shared" si="3"/>
        <v>-2.7033942914019771E-2</v>
      </c>
      <c r="E65" s="643">
        <f t="shared" si="4"/>
        <v>17.130084830318324</v>
      </c>
      <c r="F65" s="643">
        <f t="shared" si="5"/>
        <v>34.283675169681672</v>
      </c>
      <c r="G65" s="643">
        <f t="shared" si="6"/>
        <v>4.5982817204857103</v>
      </c>
      <c r="H65" s="643">
        <f t="shared" si="7"/>
        <v>3.8887545243979582E-2</v>
      </c>
      <c r="I65" s="643">
        <f t="shared" si="8"/>
        <v>37.765750305795464</v>
      </c>
      <c r="J65" s="643">
        <f t="shared" si="11"/>
        <v>42.36419645880499</v>
      </c>
      <c r="K65" s="643">
        <f t="shared" si="9"/>
        <v>50.178517180274049</v>
      </c>
      <c r="L65" s="670">
        <f t="shared" si="10"/>
        <v>33.167468585309756</v>
      </c>
      <c r="M65" s="671"/>
      <c r="N65" s="643">
        <v>1</v>
      </c>
      <c r="O65" s="643">
        <f>O63*PI()/180</f>
        <v>0</v>
      </c>
      <c r="P65" s="643">
        <f t="shared" ref="P65:P70" si="17">SIN(O65)</f>
        <v>0</v>
      </c>
      <c r="Q65" s="643">
        <f t="shared" ref="Q65:Q70" si="18">COS(O65)</f>
        <v>1</v>
      </c>
      <c r="R65" s="643">
        <f t="shared" ref="R65:R70" si="19">($E$18*($E$19*Q65-$E$20*P65+$E$28)^2-$E$18*($E$21+$E$26)^2+$E$24-$E$22*Q65^2-$E$23*P65^2)/2</f>
        <v>-4.5745132776812056</v>
      </c>
      <c r="S65" s="643">
        <f t="shared" ref="S65:S70" si="20">$E$18*($E$19*Q65-$E$20*P65+$E$28)*(-$E$19*P65-$E$20*Q65)-($E$23-$E$22)*P65*Q65</f>
        <v>3.2445145262561585E-2</v>
      </c>
      <c r="T65" s="643">
        <f t="shared" ref="T65:T70" si="21">$E$18*(-$E$19*P65-$E$20*Q65)^2+$E$18*($E$19*Q65-$E$20*P65+$E$28)*(-$E$19*Q65+$E$20*P65)-($E$23-$E$22)*(Q65^2-P65^2)</f>
        <v>19.680131397703367</v>
      </c>
      <c r="U65" s="643">
        <f t="shared" ref="U65:U70" si="22">$E$18*($E$19*Q65-$E$20*P65+$E$28)*($E$21+$E$26)</f>
        <v>1.4644736906700055</v>
      </c>
      <c r="V65" s="643">
        <f t="shared" ref="V65:V70" si="23">$E$18*($E$21+$E$26)*(-$E$19*P65-$E$20*Q65)</f>
        <v>0.35214519344594286</v>
      </c>
      <c r="W65" s="643">
        <f t="shared" ref="W65:W70" si="24">$E$18*($E$21+$E$26)*(-$E$19*Q65+$E$20*P65)</f>
        <v>-1.4644736906700053</v>
      </c>
      <c r="X65" s="643">
        <f t="shared" ref="X65:X70" si="25">S65+2*($E$23-$E$22)*P65*Q65+2*$E$18*($E$19*P65+$E$20*Q65+$E$27)*($E$19*Q65-$E$20*P65)</f>
        <v>-3.2445145262561585E-2</v>
      </c>
      <c r="Y65" s="643">
        <f t="shared" ref="Y65:Y70" si="26">T65+2*($E$23-$E$22)*(Q65^2-P65^2)+2*$E$18*($E$19*Q65-$E$20*P65)^2+2*$E$18*($E$19*P65+$E$20*Q65+$E$27)*(-$E$19*P65-$E$20*Q65)</f>
        <v>-19.680131397703367</v>
      </c>
      <c r="Z65" s="643">
        <f t="shared" ref="Z65:Z70" si="27">IF(OR(R65,U65),(R65^2+U65^2)^(-0.5)*(R65*S65+U65*V65)+X65,0)</f>
        <v>4.402171659211241E-2</v>
      </c>
      <c r="AA65" s="643">
        <f t="shared" ref="AA65:AA70" si="28">IF(OR(R65,U65),(-1)*(R65^2+U65^2)^(-1.5)*(R65*S65+U65*V65)^2+(R65^2+U65^2)^(-0.5)*(S65^2+R65*T65+V65^2+U65*W65)+Y65,0)</f>
        <v>-38.844905943665111</v>
      </c>
      <c r="AB65" s="643">
        <f t="shared" ref="AB65:AB70" si="29">IF(AA65=0,O65,O65-Z65/AA65)</f>
        <v>1.1332687136880954E-3</v>
      </c>
    </row>
    <row r="66" spans="1:28" s="625" customFormat="1">
      <c r="A66" s="643">
        <f t="shared" si="12"/>
        <v>20</v>
      </c>
      <c r="B66" s="643">
        <f t="shared" si="13"/>
        <v>300</v>
      </c>
      <c r="C66" s="643">
        <f t="shared" si="2"/>
        <v>7.6713045807253128E-3</v>
      </c>
      <c r="D66" s="643">
        <f t="shared" si="3"/>
        <v>-2.5932077294152096E-2</v>
      </c>
      <c r="E66" s="643">
        <f t="shared" si="4"/>
        <v>20.755065000000002</v>
      </c>
      <c r="F66" s="643">
        <f t="shared" si="5"/>
        <v>30.658694999999994</v>
      </c>
      <c r="G66" s="643">
        <f t="shared" si="6"/>
        <v>2.791486836444129</v>
      </c>
      <c r="H66" s="643">
        <f t="shared" si="7"/>
        <v>0.42727016199023099</v>
      </c>
      <c r="I66" s="643">
        <f t="shared" si="8"/>
        <v>39.572545189837044</v>
      </c>
      <c r="J66" s="643">
        <f t="shared" si="11"/>
        <v>42.396542100134219</v>
      </c>
      <c r="K66" s="643">
        <f t="shared" si="9"/>
        <v>46.564927412190883</v>
      </c>
      <c r="L66" s="670">
        <f t="shared" si="10"/>
        <v>36.781058353392922</v>
      </c>
      <c r="M66" s="671"/>
      <c r="N66" s="643">
        <f>N65+1</f>
        <v>2</v>
      </c>
      <c r="O66" s="643">
        <f>AB65</f>
        <v>1.1332687136880954E-3</v>
      </c>
      <c r="P66" s="643">
        <f t="shared" si="17"/>
        <v>1.1332684711123247E-3</v>
      </c>
      <c r="Q66" s="643">
        <f t="shared" si="18"/>
        <v>0.99999935785107996</v>
      </c>
      <c r="R66" s="643">
        <f t="shared" si="19"/>
        <v>-4.5744638710735828</v>
      </c>
      <c r="S66" s="643">
        <f t="shared" si="20"/>
        <v>5.4747920022727894E-2</v>
      </c>
      <c r="T66" s="643">
        <f t="shared" si="21"/>
        <v>19.679933771272886</v>
      </c>
      <c r="U66" s="643">
        <f t="shared" si="22"/>
        <v>1.4648718253047923</v>
      </c>
      <c r="V66" s="643">
        <f t="shared" si="23"/>
        <v>0.35048532545587735</v>
      </c>
      <c r="W66" s="643">
        <f t="shared" si="24"/>
        <v>-1.4648718253047923</v>
      </c>
      <c r="X66" s="643">
        <f t="shared" si="25"/>
        <v>-5.4747920022727901E-2</v>
      </c>
      <c r="Y66" s="643">
        <f t="shared" si="26"/>
        <v>-19.679933771272886</v>
      </c>
      <c r="Z66" s="643">
        <f t="shared" si="27"/>
        <v>7.7149377378238349E-7</v>
      </c>
      <c r="AA66" s="643">
        <f t="shared" si="28"/>
        <v>-38.843508483324015</v>
      </c>
      <c r="AB66" s="643">
        <f t="shared" si="29"/>
        <v>1.1332885752763995E-3</v>
      </c>
    </row>
    <row r="67" spans="1:28" s="625" customFormat="1">
      <c r="A67" s="643">
        <f t="shared" si="12"/>
        <v>21</v>
      </c>
      <c r="B67" s="643">
        <f t="shared" si="13"/>
        <v>315</v>
      </c>
      <c r="C67" s="643">
        <f t="shared" si="2"/>
        <v>1.4121626698649409E-2</v>
      </c>
      <c r="D67" s="643">
        <f t="shared" si="3"/>
        <v>-2.3062983461471939E-2</v>
      </c>
      <c r="E67" s="643">
        <f t="shared" si="4"/>
        <v>25.706879999999995</v>
      </c>
      <c r="F67" s="643">
        <f t="shared" si="5"/>
        <v>25.706880000000002</v>
      </c>
      <c r="G67" s="643">
        <f t="shared" si="6"/>
        <v>0.32929699911335852</v>
      </c>
      <c r="H67" s="643">
        <f t="shared" si="7"/>
        <v>0.78653502329417602</v>
      </c>
      <c r="I67" s="643">
        <f t="shared" si="8"/>
        <v>42.03473502716782</v>
      </c>
      <c r="J67" s="643">
        <f t="shared" si="11"/>
        <v>42.887421286288628</v>
      </c>
      <c r="K67" s="643">
        <f t="shared" si="9"/>
        <v>41.640547737529346</v>
      </c>
      <c r="L67" s="670">
        <f t="shared" si="10"/>
        <v>41.705438028054459</v>
      </c>
      <c r="M67" s="671"/>
      <c r="N67" s="643">
        <f>N66+1</f>
        <v>3</v>
      </c>
      <c r="O67" s="643">
        <f>AB66</f>
        <v>1.1332885752763995E-3</v>
      </c>
      <c r="P67" s="643">
        <f t="shared" si="17"/>
        <v>1.1332883326878747E-3</v>
      </c>
      <c r="Q67" s="643">
        <f t="shared" si="18"/>
        <v>0.9999993578285713</v>
      </c>
      <c r="R67" s="643">
        <f t="shared" si="19"/>
        <v>-4.5744638699861984</v>
      </c>
      <c r="S67" s="643">
        <f t="shared" si="20"/>
        <v>5.4748310897470287E-2</v>
      </c>
      <c r="T67" s="643">
        <f t="shared" si="21"/>
        <v>19.679933766923348</v>
      </c>
      <c r="U67" s="643">
        <f t="shared" si="22"/>
        <v>1.4648718322659875</v>
      </c>
      <c r="V67" s="643">
        <f t="shared" si="23"/>
        <v>0.35048529636119619</v>
      </c>
      <c r="W67" s="643">
        <f t="shared" si="24"/>
        <v>-1.4648718322659875</v>
      </c>
      <c r="X67" s="643">
        <f t="shared" si="25"/>
        <v>-5.4748310897470266E-2</v>
      </c>
      <c r="Y67" s="643">
        <f t="shared" si="26"/>
        <v>-19.679933766923348</v>
      </c>
      <c r="Z67" s="643">
        <f t="shared" si="27"/>
        <v>2.6367796834847468E-16</v>
      </c>
      <c r="AA67" s="643">
        <f t="shared" si="28"/>
        <v>-38.843508456943376</v>
      </c>
      <c r="AB67" s="643">
        <f t="shared" si="29"/>
        <v>1.1332885752764062E-3</v>
      </c>
    </row>
    <row r="68" spans="1:28" s="625" customFormat="1">
      <c r="A68" s="643">
        <f t="shared" si="12"/>
        <v>22</v>
      </c>
      <c r="B68" s="643">
        <f t="shared" si="13"/>
        <v>330</v>
      </c>
      <c r="C68" s="643">
        <f t="shared" si="2"/>
        <v>1.9609583294152088E-2</v>
      </c>
      <c r="D68" s="643">
        <f t="shared" si="3"/>
        <v>-1.8622185419274701E-2</v>
      </c>
      <c r="E68" s="643">
        <f t="shared" si="4"/>
        <v>30.658694999999991</v>
      </c>
      <c r="F68" s="643">
        <f t="shared" si="5"/>
        <v>20.755065000000009</v>
      </c>
      <c r="G68" s="643">
        <f t="shared" si="6"/>
        <v>-2.1285460129817082</v>
      </c>
      <c r="H68" s="643">
        <f t="shared" si="7"/>
        <v>1.0921988225712065</v>
      </c>
      <c r="I68" s="643">
        <f t="shared" si="8"/>
        <v>44.492578039262881</v>
      </c>
      <c r="J68" s="643">
        <f t="shared" si="11"/>
        <v>46.88498402433445</v>
      </c>
      <c r="K68" s="643">
        <f t="shared" si="9"/>
        <v>36.724861713339216</v>
      </c>
      <c r="L68" s="670">
        <f t="shared" si="10"/>
        <v>46.621124052244589</v>
      </c>
      <c r="M68" s="671"/>
      <c r="N68" s="643">
        <f>N67+1</f>
        <v>4</v>
      </c>
      <c r="O68" s="643">
        <f>AB67</f>
        <v>1.1332885752764062E-3</v>
      </c>
      <c r="P68" s="643">
        <f t="shared" si="17"/>
        <v>1.1332883326878815E-3</v>
      </c>
      <c r="Q68" s="643">
        <f t="shared" si="18"/>
        <v>0.9999993578285713</v>
      </c>
      <c r="R68" s="643">
        <f t="shared" si="19"/>
        <v>-4.5744638699861984</v>
      </c>
      <c r="S68" s="643">
        <f t="shared" si="20"/>
        <v>5.4748310897470412E-2</v>
      </c>
      <c r="T68" s="643">
        <f t="shared" si="21"/>
        <v>19.679933766923348</v>
      </c>
      <c r="U68" s="643">
        <f t="shared" si="22"/>
        <v>1.4648718322659875</v>
      </c>
      <c r="V68" s="643">
        <f t="shared" si="23"/>
        <v>0.35048529636119619</v>
      </c>
      <c r="W68" s="643">
        <f t="shared" si="24"/>
        <v>-1.4648718322659875</v>
      </c>
      <c r="X68" s="643">
        <f t="shared" si="25"/>
        <v>-5.4748310897470405E-2</v>
      </c>
      <c r="Y68" s="643">
        <f t="shared" si="26"/>
        <v>-19.679933766923348</v>
      </c>
      <c r="Z68" s="643">
        <f t="shared" si="27"/>
        <v>1.3877787807814457E-17</v>
      </c>
      <c r="AA68" s="643">
        <f t="shared" si="28"/>
        <v>-38.843508456943376</v>
      </c>
      <c r="AB68" s="643">
        <f t="shared" si="29"/>
        <v>1.1332885752764067E-3</v>
      </c>
    </row>
    <row r="69" spans="1:28" s="625" customFormat="1">
      <c r="A69" s="643">
        <f t="shared" si="12"/>
        <v>23</v>
      </c>
      <c r="B69" s="643">
        <f t="shared" si="13"/>
        <v>345</v>
      </c>
      <c r="C69" s="643">
        <f t="shared" si="2"/>
        <v>2.376117919452694E-2</v>
      </c>
      <c r="D69" s="643">
        <f t="shared" si="3"/>
        <v>-1.2912316215370354E-2</v>
      </c>
      <c r="E69" s="643">
        <f t="shared" si="4"/>
        <v>34.283675169681679</v>
      </c>
      <c r="F69" s="643">
        <f t="shared" si="5"/>
        <v>17.130084830318321</v>
      </c>
      <c r="G69" s="643">
        <f t="shared" si="6"/>
        <v>-3.9234651496277202</v>
      </c>
      <c r="H69" s="643">
        <f t="shared" si="7"/>
        <v>1.3234310770339051</v>
      </c>
      <c r="I69" s="643">
        <f t="shared" si="8"/>
        <v>46.287497175908889</v>
      </c>
      <c r="J69" s="643">
        <f t="shared" si="11"/>
        <v>50.428155166615483</v>
      </c>
      <c r="K69" s="643">
        <f t="shared" si="9"/>
        <v>33.135023440047192</v>
      </c>
      <c r="L69" s="670">
        <f t="shared" si="10"/>
        <v>50.210962325536613</v>
      </c>
      <c r="M69" s="671"/>
      <c r="N69" s="643">
        <f>N68+1</f>
        <v>5</v>
      </c>
      <c r="O69" s="643">
        <f>AB68</f>
        <v>1.1332885752764067E-3</v>
      </c>
      <c r="P69" s="643">
        <f t="shared" si="17"/>
        <v>1.1332883326878819E-3</v>
      </c>
      <c r="Q69" s="643">
        <f t="shared" si="18"/>
        <v>0.9999993578285713</v>
      </c>
      <c r="R69" s="643">
        <f t="shared" si="19"/>
        <v>-4.5744638699861984</v>
      </c>
      <c r="S69" s="643">
        <f t="shared" si="20"/>
        <v>5.4748310897470426E-2</v>
      </c>
      <c r="T69" s="643">
        <f t="shared" si="21"/>
        <v>19.679933766923348</v>
      </c>
      <c r="U69" s="643">
        <f t="shared" si="22"/>
        <v>1.4648718322659875</v>
      </c>
      <c r="V69" s="643">
        <f t="shared" si="23"/>
        <v>0.35048529636119619</v>
      </c>
      <c r="W69" s="643">
        <f t="shared" si="24"/>
        <v>-1.4648718322659875</v>
      </c>
      <c r="X69" s="643">
        <f t="shared" si="25"/>
        <v>-5.4748310897470405E-2</v>
      </c>
      <c r="Y69" s="643">
        <f t="shared" si="26"/>
        <v>-19.679933766923348</v>
      </c>
      <c r="Z69" s="643">
        <f t="shared" si="27"/>
        <v>0</v>
      </c>
      <c r="AA69" s="643">
        <f t="shared" si="28"/>
        <v>-38.843508456943376</v>
      </c>
      <c r="AB69" s="643">
        <f t="shared" si="29"/>
        <v>1.1332885752764067E-3</v>
      </c>
    </row>
    <row r="70" spans="1:28" s="625" customFormat="1">
      <c r="A70" s="643">
        <f t="shared" si="12"/>
        <v>24</v>
      </c>
      <c r="B70" s="643">
        <f t="shared" si="13"/>
        <v>360</v>
      </c>
      <c r="C70" s="643">
        <f t="shared" si="2"/>
        <v>2.6293489999999999E-2</v>
      </c>
      <c r="D70" s="643">
        <f t="shared" si="3"/>
        <v>-6.3224940000000058E-3</v>
      </c>
      <c r="E70" s="643">
        <f t="shared" si="4"/>
        <v>35.610509999999998</v>
      </c>
      <c r="F70" s="643">
        <f t="shared" si="5"/>
        <v>15.80325</v>
      </c>
      <c r="G70" s="643">
        <f t="shared" si="6"/>
        <v>-4.5745132776812056</v>
      </c>
      <c r="H70" s="643">
        <f t="shared" si="7"/>
        <v>1.4644736906700055</v>
      </c>
      <c r="I70" s="643">
        <f t="shared" si="8"/>
        <v>46.938545303962378</v>
      </c>
      <c r="J70" s="643">
        <f t="shared" si="11"/>
        <v>51.741758282620133</v>
      </c>
      <c r="K70" s="643">
        <f t="shared" si="9"/>
        <v>31.832927183940221</v>
      </c>
      <c r="L70" s="670">
        <f t="shared" si="10"/>
        <v>51.513058581643584</v>
      </c>
      <c r="M70" s="671"/>
      <c r="N70" s="643">
        <f>N69+1</f>
        <v>6</v>
      </c>
      <c r="O70" s="643">
        <f>AB69</f>
        <v>1.1332885752764067E-3</v>
      </c>
      <c r="P70" s="643">
        <f t="shared" si="17"/>
        <v>1.1332883326878819E-3</v>
      </c>
      <c r="Q70" s="643">
        <f t="shared" si="18"/>
        <v>0.9999993578285713</v>
      </c>
      <c r="R70" s="643">
        <f t="shared" si="19"/>
        <v>-4.5744638699861984</v>
      </c>
      <c r="S70" s="643">
        <f t="shared" si="20"/>
        <v>5.4748310897470426E-2</v>
      </c>
      <c r="T70" s="643">
        <f t="shared" si="21"/>
        <v>19.679933766923348</v>
      </c>
      <c r="U70" s="643">
        <f t="shared" si="22"/>
        <v>1.4648718322659875</v>
      </c>
      <c r="V70" s="643">
        <f t="shared" si="23"/>
        <v>0.35048529636119619</v>
      </c>
      <c r="W70" s="643">
        <f t="shared" si="24"/>
        <v>-1.4648718322659875</v>
      </c>
      <c r="X70" s="643">
        <f t="shared" si="25"/>
        <v>-5.4748310897470405E-2</v>
      </c>
      <c r="Y70" s="643">
        <f t="shared" si="26"/>
        <v>-19.679933766923348</v>
      </c>
      <c r="Z70" s="643">
        <f t="shared" si="27"/>
        <v>0</v>
      </c>
      <c r="AA70" s="643">
        <f t="shared" si="28"/>
        <v>-38.843508456943376</v>
      </c>
      <c r="AB70" s="643">
        <f t="shared" si="29"/>
        <v>1.1332885752764067E-3</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-12</v>
      </c>
      <c r="C73" s="643">
        <f t="shared" ref="C73:C85" si="31">$E$19*COS(B73*PI()/180)-$E$20*SIN(B73*PI()/180)</f>
        <v>2.4404393740693173E-2</v>
      </c>
      <c r="D73" s="643">
        <f t="shared" ref="D73:D85" si="32">$E$19*SIN(B73*PI()/180)+$E$20*COS(B73*PI()/180)</f>
        <v>-1.1651056300153728E-2</v>
      </c>
      <c r="E73" s="643">
        <f t="shared" ref="E73:E85" si="33">$E$22*COS(B73*PI()/180)^2+$E$23*SIN(B73*PI()/180)^2</f>
        <v>34.754296200672989</v>
      </c>
      <c r="F73" s="643">
        <f t="shared" ref="F73:F85" si="34">$E$22*SIN(B73*PI()/180)^2+$E$23*COS(B73*PI()/180)^2</f>
        <v>16.65946379932701</v>
      </c>
      <c r="G73" s="643">
        <f t="shared" ref="G73:G85" si="35">($E$18*(C73+$E$28)^2-$E$18*($E$21+$E$26)^2+$E$24-E73)/2</f>
        <v>-4.1557524040348248</v>
      </c>
      <c r="H73" s="643">
        <f t="shared" ref="H73:H85" si="36">$E$18*(C73+$E$28)*($E$21+$E$26)</f>
        <v>1.3592563242839544</v>
      </c>
      <c r="I73" s="643">
        <f t="shared" ref="I73:I85" si="37">$E$18*((C73+$E$28)^2+($E$21+$E$26)^2)/2+$E$18*(D73+$E$27)^2+($E$24+E73)/2</f>
        <v>46.519784430315994</v>
      </c>
      <c r="J73" s="643">
        <f>SQRT(G73^2+H73^2)+I73</f>
        <v>50.892181461550365</v>
      </c>
      <c r="K73" s="670">
        <f>IF(G73=0,0,IF((PI()/2-ATAN2(H73,G73))/2*180/PI()&gt;90,(PI()/2-ATAN2(H73,G73))/2*180/PI()-180,(PI()/2-ATAN2(H73,G73))/2*180/PI()))</f>
        <v>80.944101899486427</v>
      </c>
      <c r="L73" s="670">
        <f>IF(G73=0,0,SQRT(G73^2+H73^2)*SIN(2*K73*PI()/180+ATAN2(H73,G73))+I73)</f>
        <v>50.892181461550365</v>
      </c>
    </row>
    <row r="74" spans="1:28" s="625" customFormat="1">
      <c r="A74" s="643">
        <v>1</v>
      </c>
      <c r="B74" s="643">
        <f t="shared" si="30"/>
        <v>-10</v>
      </c>
      <c r="C74" s="643">
        <f t="shared" si="31"/>
        <v>2.4796143244338861E-2</v>
      </c>
      <c r="D74" s="643">
        <f t="shared" si="32"/>
        <v>-1.0792257732576822E-2</v>
      </c>
      <c r="E74" s="643">
        <f t="shared" si="33"/>
        <v>35.013248029993939</v>
      </c>
      <c r="F74" s="643">
        <f t="shared" si="34"/>
        <v>16.400511970006054</v>
      </c>
      <c r="G74" s="643">
        <f t="shared" si="35"/>
        <v>-4.2833474375015523</v>
      </c>
      <c r="H74" s="643">
        <f t="shared" si="36"/>
        <v>1.3810756735381668</v>
      </c>
      <c r="I74" s="643">
        <f t="shared" si="37"/>
        <v>46.647379463782727</v>
      </c>
      <c r="J74" s="643">
        <f>SQRT(G74^2+H74^2)+I74</f>
        <v>51.147872246399984</v>
      </c>
      <c r="K74" s="670">
        <f t="shared" ref="K74:K85" si="38">IF(G74=0,0,IF((PI()/2-ATAN2(H74,G74))/2*180/PI()&gt;90,(PI()/2-ATAN2(H74,G74))/2*180/PI()-180,(PI()/2-ATAN2(H74,G74))/2*180/PI()))</f>
        <v>81.064585265782213</v>
      </c>
      <c r="L74" s="670">
        <f t="shared" ref="L74:L85" si="39">IF(G74=0,0,SQRT(G74^2+H74^2)*SIN(2*K74*PI()/180+ATAN2(H74,G74))+I74)</f>
        <v>51.147872246399984</v>
      </c>
    </row>
    <row r="75" spans="1:28" s="625" customFormat="1">
      <c r="A75" s="643">
        <f>A74+1</f>
        <v>2</v>
      </c>
      <c r="B75" s="643">
        <f t="shared" si="30"/>
        <v>-8</v>
      </c>
      <c r="C75" s="643">
        <f t="shared" si="31"/>
        <v>2.5157682466994381E-2</v>
      </c>
      <c r="D75" s="643">
        <f t="shared" si="32"/>
        <v>-9.9203104613726362E-3</v>
      </c>
      <c r="E75" s="643">
        <f t="shared" si="33"/>
        <v>35.226860169745621</v>
      </c>
      <c r="F75" s="643">
        <f t="shared" si="34"/>
        <v>16.18689983025439</v>
      </c>
      <c r="G75" s="643">
        <f t="shared" si="35"/>
        <v>-4.3883910961913273</v>
      </c>
      <c r="H75" s="643">
        <f t="shared" si="36"/>
        <v>1.4012123948225721</v>
      </c>
      <c r="I75" s="643">
        <f t="shared" si="37"/>
        <v>46.752423122472507</v>
      </c>
      <c r="J75" s="643">
        <f t="shared" ref="J75:J84" si="40">SQRT(G75^2+H75^2)+I75</f>
        <v>51.359089225907368</v>
      </c>
      <c r="K75" s="670">
        <f t="shared" si="38"/>
        <v>81.145863894543467</v>
      </c>
      <c r="L75" s="670">
        <f t="shared" si="39"/>
        <v>51.359089225907368</v>
      </c>
    </row>
    <row r="76" spans="1:28" s="625" customFormat="1">
      <c r="A76" s="643">
        <f t="shared" ref="A76:A84" si="41">A75+1</f>
        <v>3</v>
      </c>
      <c r="B76" s="643">
        <f t="shared" si="30"/>
        <v>-6</v>
      </c>
      <c r="C76" s="643">
        <f t="shared" si="31"/>
        <v>2.5488570928807783E-2</v>
      </c>
      <c r="D76" s="643">
        <f t="shared" si="32"/>
        <v>-9.0362768199779495E-3</v>
      </c>
      <c r="E76" s="643">
        <f t="shared" si="33"/>
        <v>35.394091923055335</v>
      </c>
      <c r="F76" s="643">
        <f t="shared" si="34"/>
        <v>16.019668076944662</v>
      </c>
      <c r="G76" s="643">
        <f t="shared" si="35"/>
        <v>-4.4703716179579409</v>
      </c>
      <c r="H76" s="643">
        <f t="shared" si="36"/>
        <v>1.4196419546441092</v>
      </c>
      <c r="I76" s="643">
        <f t="shared" si="37"/>
        <v>46.834403644239117</v>
      </c>
      <c r="J76" s="643">
        <f t="shared" si="40"/>
        <v>51.524777369437317</v>
      </c>
      <c r="K76" s="670">
        <f t="shared" si="38"/>
        <v>81.190937940426721</v>
      </c>
      <c r="L76" s="670">
        <f t="shared" si="39"/>
        <v>51.524777369437317</v>
      </c>
    </row>
    <row r="77" spans="1:28" s="625" customFormat="1">
      <c r="A77" s="643">
        <f t="shared" si="41"/>
        <v>4</v>
      </c>
      <c r="B77" s="643">
        <f t="shared" si="30"/>
        <v>-4</v>
      </c>
      <c r="C77" s="643">
        <f t="shared" si="31"/>
        <v>2.5788405493157793E-2</v>
      </c>
      <c r="D77" s="643">
        <f t="shared" si="32"/>
        <v>-8.1412338672098572E-3</v>
      </c>
      <c r="E77" s="643">
        <f t="shared" si="33"/>
        <v>35.514128553631068</v>
      </c>
      <c r="F77" s="643">
        <f t="shared" si="34"/>
        <v>15.89963144636892</v>
      </c>
      <c r="G77" s="643">
        <f t="shared" si="35"/>
        <v>-4.5288896019400191</v>
      </c>
      <c r="H77" s="643">
        <f t="shared" si="36"/>
        <v>1.4363418994229915</v>
      </c>
      <c r="I77" s="643">
        <f t="shared" si="37"/>
        <v>46.892921628221195</v>
      </c>
      <c r="J77" s="643">
        <f t="shared" si="40"/>
        <v>51.644123484446467</v>
      </c>
      <c r="K77" s="670">
        <f t="shared" si="38"/>
        <v>81.201761609796733</v>
      </c>
      <c r="L77" s="670">
        <f t="shared" si="39"/>
        <v>51.644123484446467</v>
      </c>
    </row>
    <row r="78" spans="1:28" s="625" customFormat="1">
      <c r="A78" s="643">
        <f t="shared" si="41"/>
        <v>5</v>
      </c>
      <c r="B78" s="643">
        <f t="shared" si="30"/>
        <v>-2</v>
      </c>
      <c r="C78" s="643">
        <f t="shared" si="31"/>
        <v>2.6056820857813742E-2</v>
      </c>
      <c r="D78" s="643">
        <f t="shared" si="32"/>
        <v>-7.2362720750355127E-3</v>
      </c>
      <c r="E78" s="643">
        <f t="shared" si="33"/>
        <v>35.586385255074703</v>
      </c>
      <c r="F78" s="643">
        <f t="shared" si="34"/>
        <v>15.827374744925299</v>
      </c>
      <c r="G78" s="643">
        <f t="shared" si="35"/>
        <v>-4.5636599544018068</v>
      </c>
      <c r="H78" s="643">
        <f t="shared" si="36"/>
        <v>1.4512918828489358</v>
      </c>
      <c r="I78" s="643">
        <f t="shared" si="37"/>
        <v>46.92769198068298</v>
      </c>
      <c r="J78" s="643">
        <f t="shared" si="40"/>
        <v>51.716558267042821</v>
      </c>
      <c r="K78" s="670">
        <f t="shared" si="38"/>
        <v>81.179394255358858</v>
      </c>
      <c r="L78" s="670">
        <f t="shared" si="39"/>
        <v>51.716558267042821</v>
      </c>
    </row>
    <row r="79" spans="1:28" s="625" customFormat="1" ht="14.25">
      <c r="A79" s="695">
        <f t="shared" si="41"/>
        <v>6</v>
      </c>
      <c r="B79" s="695">
        <f>INDEX($B46:$B70,MATCH($J$44,$J$46:$J$70,0))</f>
        <v>0</v>
      </c>
      <c r="C79" s="695">
        <f t="shared" si="31"/>
        <v>2.6293489999999999E-2</v>
      </c>
      <c r="D79" s="695">
        <f t="shared" si="32"/>
        <v>-6.3224939999999997E-3</v>
      </c>
      <c r="E79" s="695">
        <f t="shared" si="33"/>
        <v>35.610509999999998</v>
      </c>
      <c r="F79" s="695">
        <f t="shared" si="34"/>
        <v>15.80325</v>
      </c>
      <c r="G79" s="695">
        <f t="shared" si="35"/>
        <v>-4.5745132776812056</v>
      </c>
      <c r="H79" s="695">
        <f t="shared" si="36"/>
        <v>1.4644736906700055</v>
      </c>
      <c r="I79" s="695">
        <f t="shared" si="37"/>
        <v>46.938545303962378</v>
      </c>
      <c r="J79" s="695">
        <f t="shared" si="40"/>
        <v>51.741758282620133</v>
      </c>
      <c r="K79" s="670">
        <f t="shared" si="38"/>
        <v>81.124088605161191</v>
      </c>
      <c r="L79" s="670">
        <f t="shared" si="39"/>
        <v>51.741758282620133</v>
      </c>
    </row>
    <row r="80" spans="1:28" s="625" customFormat="1">
      <c r="A80" s="643">
        <f t="shared" si="41"/>
        <v>7</v>
      </c>
      <c r="B80" s="643">
        <f t="shared" ref="B80:B85" si="42">B79+2</f>
        <v>2</v>
      </c>
      <c r="C80" s="643">
        <f t="shared" si="31"/>
        <v>2.6498124574822906E-2</v>
      </c>
      <c r="D80" s="643">
        <f t="shared" si="32"/>
        <v>-5.401012939931029E-3</v>
      </c>
      <c r="E80" s="643">
        <f t="shared" si="33"/>
        <v>35.586385255074703</v>
      </c>
      <c r="F80" s="643">
        <f t="shared" si="34"/>
        <v>15.827374744925299</v>
      </c>
      <c r="G80" s="643">
        <f t="shared" si="35"/>
        <v>-4.5613966954781748</v>
      </c>
      <c r="H80" s="643">
        <f t="shared" si="36"/>
        <v>1.4758712628838722</v>
      </c>
      <c r="I80" s="643">
        <f t="shared" si="37"/>
        <v>46.925428721759346</v>
      </c>
      <c r="J80" s="643">
        <f t="shared" si="40"/>
        <v>51.71964771948209</v>
      </c>
      <c r="K80" s="670">
        <f t="shared" si="38"/>
        <v>81.035327895486716</v>
      </c>
      <c r="L80" s="670">
        <f t="shared" si="39"/>
        <v>51.71964771948209</v>
      </c>
    </row>
    <row r="81" spans="1:16" s="625" customFormat="1">
      <c r="A81" s="643">
        <f t="shared" si="41"/>
        <v>8</v>
      </c>
      <c r="B81" s="643">
        <f t="shared" si="42"/>
        <v>4</v>
      </c>
      <c r="C81" s="643">
        <f t="shared" si="31"/>
        <v>2.6670475266574574E-2</v>
      </c>
      <c r="D81" s="643">
        <f t="shared" si="32"/>
        <v>-4.4729515775570154E-3</v>
      </c>
      <c r="E81" s="643">
        <f t="shared" si="33"/>
        <v>35.514128553631068</v>
      </c>
      <c r="F81" s="643">
        <f t="shared" si="34"/>
        <v>15.89963144636892</v>
      </c>
      <c r="G81" s="643">
        <f t="shared" si="35"/>
        <v>-4.5243741104627269</v>
      </c>
      <c r="H81" s="643">
        <f t="shared" si="36"/>
        <v>1.4854707133044553</v>
      </c>
      <c r="I81" s="643">
        <f t="shared" si="37"/>
        <v>46.888406136743903</v>
      </c>
      <c r="J81" s="643">
        <f t="shared" si="40"/>
        <v>51.650399871673699</v>
      </c>
      <c r="K81" s="670">
        <f t="shared" si="38"/>
        <v>80.911817469610583</v>
      </c>
      <c r="L81" s="670">
        <f t="shared" si="39"/>
        <v>51.650399871673699</v>
      </c>
    </row>
    <row r="82" spans="1:16" s="625" customFormat="1">
      <c r="A82" s="643">
        <f t="shared" si="41"/>
        <v>9</v>
      </c>
      <c r="B82" s="643">
        <f t="shared" si="42"/>
        <v>6</v>
      </c>
      <c r="C82" s="643">
        <f t="shared" si="31"/>
        <v>2.6810332092485699E-2</v>
      </c>
      <c r="D82" s="643">
        <f t="shared" si="32"/>
        <v>-3.5394406126911218E-3</v>
      </c>
      <c r="E82" s="643">
        <f t="shared" si="33"/>
        <v>35.394091923055335</v>
      </c>
      <c r="F82" s="643">
        <f t="shared" si="34"/>
        <v>16.019668076944662</v>
      </c>
      <c r="G82" s="643">
        <f t="shared" si="35"/>
        <v>-4.4636258929475758</v>
      </c>
      <c r="H82" s="643">
        <f t="shared" si="36"/>
        <v>1.4932603464800991</v>
      </c>
      <c r="I82" s="643">
        <f t="shared" si="37"/>
        <v>46.827657919228756</v>
      </c>
      <c r="J82" s="643">
        <f t="shared" si="40"/>
        <v>51.534438408540097</v>
      </c>
      <c r="K82" s="670">
        <f t="shared" si="38"/>
        <v>80.751431367752119</v>
      </c>
      <c r="L82" s="670">
        <f t="shared" si="39"/>
        <v>51.534438408540097</v>
      </c>
    </row>
    <row r="83" spans="1:16" s="625" customFormat="1">
      <c r="A83" s="643">
        <f t="shared" si="41"/>
        <v>10</v>
      </c>
      <c r="B83" s="643">
        <f t="shared" si="42"/>
        <v>8</v>
      </c>
      <c r="C83" s="643">
        <f t="shared" si="31"/>
        <v>2.69175246585572E-2</v>
      </c>
      <c r="D83" s="643">
        <f t="shared" si="32"/>
        <v>-2.6016173846476953E-3</v>
      </c>
      <c r="E83" s="643">
        <f t="shared" si="33"/>
        <v>35.226860169745621</v>
      </c>
      <c r="F83" s="643">
        <f t="shared" si="34"/>
        <v>16.18689983025439</v>
      </c>
      <c r="G83" s="643">
        <f t="shared" si="35"/>
        <v>-4.3794480021420572</v>
      </c>
      <c r="H83" s="643">
        <f t="shared" si="36"/>
        <v>1.49923067194268</v>
      </c>
      <c r="I83" s="643">
        <f t="shared" si="37"/>
        <v>46.743480028423235</v>
      </c>
      <c r="J83" s="643">
        <f t="shared" si="40"/>
        <v>51.372438595008134</v>
      </c>
      <c r="K83" s="670">
        <f t="shared" si="38"/>
        <v>80.55110967010998</v>
      </c>
      <c r="L83" s="670">
        <f t="shared" si="39"/>
        <v>51.372438595008134</v>
      </c>
    </row>
    <row r="84" spans="1:16" s="625" customFormat="1">
      <c r="A84" s="643">
        <f t="shared" si="41"/>
        <v>11</v>
      </c>
      <c r="B84" s="643">
        <f t="shared" si="42"/>
        <v>10</v>
      </c>
      <c r="C84" s="643">
        <f t="shared" si="31"/>
        <v>2.6991922367159062E-2</v>
      </c>
      <c r="D84" s="643">
        <f t="shared" si="32"/>
        <v>-1.6606244865695107E-3</v>
      </c>
      <c r="E84" s="643">
        <f t="shared" si="33"/>
        <v>35.013248029993939</v>
      </c>
      <c r="F84" s="643">
        <f t="shared" si="34"/>
        <v>16.400511970006054</v>
      </c>
      <c r="G84" s="643">
        <f t="shared" si="35"/>
        <v>-4.2722505442686298</v>
      </c>
      <c r="H84" s="643">
        <f t="shared" si="36"/>
        <v>1.50337441577028</v>
      </c>
      <c r="I84" s="643">
        <f t="shared" si="37"/>
        <v>46.636282570549795</v>
      </c>
      <c r="J84" s="643">
        <f t="shared" si="40"/>
        <v>51.165328755674899</v>
      </c>
      <c r="K84" s="670">
        <f t="shared" si="38"/>
        <v>80.30669707427306</v>
      </c>
      <c r="L84" s="670">
        <f t="shared" si="39"/>
        <v>51.165328755674899</v>
      </c>
    </row>
    <row r="85" spans="1:16" s="625" customFormat="1">
      <c r="A85" s="643">
        <f>A84+1</f>
        <v>12</v>
      </c>
      <c r="B85" s="643">
        <f t="shared" si="42"/>
        <v>12</v>
      </c>
      <c r="C85" s="643">
        <f t="shared" si="31"/>
        <v>2.7033434576143451E-2</v>
      </c>
      <c r="D85" s="643">
        <f t="shared" si="32"/>
        <v>-7.1760837335403498E-4</v>
      </c>
      <c r="E85" s="643">
        <f t="shared" si="33"/>
        <v>34.754296200672989</v>
      </c>
      <c r="F85" s="643">
        <f t="shared" si="34"/>
        <v>16.65946379932701</v>
      </c>
      <c r="G85" s="643">
        <f t="shared" si="35"/>
        <v>-4.1425557745666239</v>
      </c>
      <c r="H85" s="643">
        <f t="shared" si="36"/>
        <v>1.5056865294493402</v>
      </c>
      <c r="I85" s="643">
        <f t="shared" si="37"/>
        <v>46.506587800847797</v>
      </c>
      <c r="J85" s="643">
        <f>SQRT(G85^2+H85^2)+I85</f>
        <v>50.914292449569224</v>
      </c>
      <c r="K85" s="670">
        <f t="shared" si="38"/>
        <v>80.012706521132358</v>
      </c>
      <c r="L85" s="670">
        <f t="shared" si="39"/>
        <v>50.914292449569224</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6.4932652333732188E-2</v>
      </c>
      <c r="C89" s="643">
        <f>$E$19*COS(B89*PI()/180)-$E$20*SIN(B89*PI()/180)</f>
        <v>2.6300638323755648E-2</v>
      </c>
      <c r="D89" s="643">
        <f>$E$19*SIN(B89*PI()/180)+$E$20*COS(B89*PI()/180)</f>
        <v>-6.2926918344323492E-3</v>
      </c>
      <c r="E89" s="643">
        <f>$E$22*COS(B89*PI()/180)^2+$E$23*SIN(B89*PI()/180)^2</f>
        <v>35.610484560695262</v>
      </c>
      <c r="F89" s="670">
        <f>$E$22*SIN(B89*PI()/180)^2+$E$23*COS(B89*PI()/180)^2</f>
        <v>15.803275439304736</v>
      </c>
      <c r="G89" s="643">
        <f>($E$18*(C89+$E$28)^2-$E$18*($E$21+$E$26)^2+$E$24-E89)/2</f>
        <v>-4.5744638699862001</v>
      </c>
      <c r="H89" s="643">
        <f>$E$18*(C89+$E$28)*($E$21+$E$26)</f>
        <v>1.4648718322659875</v>
      </c>
      <c r="I89" s="643">
        <f>$E$18*((C89+$E$28)^2+($E$21+$E$26)^2)/2+$E$18*(D89+$E$27)^2+($E$24+E89)/2</f>
        <v>46.938495896267384</v>
      </c>
      <c r="J89" s="702">
        <f>SQRT(G89^2+H89^2)+I89</f>
        <v>51.741783227124806</v>
      </c>
      <c r="K89" s="659">
        <f>$E$18*((C89+$E$28)^2+($E$21+$E$26)^2)+F89</f>
        <v>31.833025999330225</v>
      </c>
      <c r="L89" s="659">
        <f>$E$18*(D89^2+($E$21+$E$26)^2)+E89</f>
        <v>51.51295976625358</v>
      </c>
      <c r="N89" s="643">
        <f>IF(G89=0,0,IF((PI()/2-ATAN2(H89,G89))/2*180/PI()&gt;90,(PI()/2-ATAN2(H89,G89))/2*180/PI()-180,(PI()/2-ATAN2(H89,G89))/2*180/PI()))</f>
        <v>81.121737217159662</v>
      </c>
      <c r="O89" s="643">
        <f>IF(G89=0,0,SQRT(G89^2+H89^2)*SIN(2*N89*PI()/180+ATAN2(H89,G89))+I89)</f>
        <v>51.741783227124806</v>
      </c>
      <c r="P89" s="703"/>
    </row>
    <row r="90" spans="1:16" s="625" customFormat="1" ht="14.25">
      <c r="A90" s="664" t="s">
        <v>1584</v>
      </c>
      <c r="B90" s="701">
        <f>N46</f>
        <v>89.905541120895137</v>
      </c>
      <c r="C90" s="643">
        <f>$E$19*COS(B90*PI()/180)-$E$20*SIN(B90*PI()/180)</f>
        <v>6.365833320956805E-3</v>
      </c>
      <c r="D90" s="670">
        <f>$E$19*SIN(B90*PI()/180)+$E$20*COS(B90*PI()/180)</f>
        <v>2.6283030892382483E-2</v>
      </c>
      <c r="E90" s="670">
        <f>$E$22*COS(B90*PI()/180)^2+$E$23*SIN(B90*PI()/180)^2</f>
        <v>15.803303834950684</v>
      </c>
      <c r="F90" s="643">
        <f>$E$22*SIN(B90*PI()/180)^2+$E$23*COS(B90*PI()/180)^2</f>
        <v>35.610456165049314</v>
      </c>
      <c r="G90" s="670">
        <f>($E$18*(C90+$E$28)^2-$E$18*($E$21+$E$26)^2+$E$24-E90)/2</f>
        <v>5.2655791660272238</v>
      </c>
      <c r="H90" s="670">
        <f>$E$18*(C90+$E$28)*($E$21+$E$26)</f>
        <v>0.3545590721403552</v>
      </c>
      <c r="I90" s="670">
        <f>$E$18*((C90+$E$28)^2+($E$21+$E$26)^2)/2+$E$18*(D90+$E$27)^2+($E$24+E90)/2</f>
        <v>37.09845286025395</v>
      </c>
      <c r="J90" s="670">
        <f>SQRT(G90^2+H90^2)+I90</f>
        <v>42.375955687286542</v>
      </c>
      <c r="K90" s="702">
        <f>$E$18*((C90+$E$28)^2+($E$21+$E$26)^2)+F90</f>
        <v>51.513112071357078</v>
      </c>
      <c r="L90" s="659">
        <f>$E$18*(D90^2+($E$21+$E$26)^2)+E90</f>
        <v>31.832873694226727</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214</v>
      </c>
      <c r="D2" s="9" t="str">
        <f>'Misc Data'!C26</f>
        <v>M-900iA/260L</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M-900iA/260L</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155</v>
      </c>
      <c r="D6" s="224">
        <f>VLOOKUP($C$2,J3J6Table,4,FALSE)</f>
        <v>25</v>
      </c>
      <c r="E6" s="224">
        <f>VLOOKUP($C$2,J3J6Table,5,FALSE)</f>
        <v>130</v>
      </c>
      <c r="F6" s="404">
        <f>VLOOKUP($C$2,J3J6Table,6,FALSE)</f>
        <v>260</v>
      </c>
      <c r="G6" s="404">
        <f>VLOOKUP($C$2,J3J6Table,7,FALSE)</f>
        <v>264</v>
      </c>
      <c r="H6" s="224">
        <f>VLOOKUP($C$2,J3J6Table,8,FALSE)</f>
        <v>1</v>
      </c>
      <c r="J6" s="404">
        <f>C6</f>
        <v>155</v>
      </c>
      <c r="K6" s="404">
        <f>IF(H6=3,C6/(E6-G6),(D6-C6)/(F6-E6))</f>
        <v>-1</v>
      </c>
      <c r="L6" s="405">
        <f>-(K6*E6-C6)</f>
        <v>285</v>
      </c>
      <c r="M6" s="404">
        <f>IF(H6=1,-D6/(G6-F6),"-")</f>
        <v>-6.25</v>
      </c>
      <c r="N6" s="404">
        <f>IF(H6=1,-(M6*F6-D6),"-")</f>
        <v>1650</v>
      </c>
    </row>
    <row r="7" spans="1:14">
      <c r="J7" s="219" t="s">
        <v>352</v>
      </c>
      <c r="K7" s="219" t="s">
        <v>2781</v>
      </c>
      <c r="M7" s="221" t="s">
        <v>3188</v>
      </c>
    </row>
    <row r="8" spans="1:14">
      <c r="A8" s="226" t="s">
        <v>2190</v>
      </c>
      <c r="B8" s="228" t="s">
        <v>2122</v>
      </c>
      <c r="C8" s="229">
        <f>Anal_Input_8</f>
        <v>11</v>
      </c>
      <c r="J8" s="228">
        <f>+E6</f>
        <v>130</v>
      </c>
      <c r="K8" s="228">
        <f>+(C8-L6)/K6</f>
        <v>274</v>
      </c>
      <c r="L8" s="224"/>
      <c r="M8" s="228">
        <f>+(C8-N6)/M6</f>
        <v>262.24</v>
      </c>
    </row>
    <row r="9" spans="1:14">
      <c r="E9" s="213" t="s">
        <v>347</v>
      </c>
      <c r="F9" s="213">
        <v>1</v>
      </c>
      <c r="G9" s="213">
        <v>2</v>
      </c>
      <c r="H9" s="213">
        <v>3</v>
      </c>
    </row>
    <row r="10" spans="1:14">
      <c r="A10" s="226" t="s">
        <v>2191</v>
      </c>
      <c r="B10" s="228" t="s">
        <v>2192</v>
      </c>
      <c r="C10" s="224">
        <f>IF(H6=1,F10,IF(H6=2,$G10,IF(H6=3,H10,IF(H6="-",E10))))</f>
        <v>262.24</v>
      </c>
      <c r="E10" s="228">
        <f>VLOOKUP(Anal_Robot_Code,Table1,12,TRUE)</f>
        <v>260</v>
      </c>
      <c r="F10" s="224">
        <f>IF($C8&gt;$C6,0,IF($C8&gt;$D6,$K8,IF($C8&lt;=$D6,$M8,"NG")))</f>
        <v>262.24</v>
      </c>
      <c r="G10" s="224">
        <f>IF($C8&gt;$C6,0,IF($C8&gt;$D6,$K8,IF($C8&lt;=$D6,$F6,"NG")))</f>
        <v>260</v>
      </c>
      <c r="H10" s="224">
        <f>IF($C8&gt;$C6,0,IF($C8&gt;=0,$K8))</f>
        <v>274</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111</v>
      </c>
      <c r="F22" s="235">
        <f>J36</f>
        <v>155</v>
      </c>
      <c r="G22" s="235">
        <f>K36*C17+L36</f>
        <v>111</v>
      </c>
      <c r="H22" s="235">
        <f>IF(N34, M36*C17+N36, 0)</f>
        <v>562.5</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260</v>
      </c>
      <c r="D27" s="240">
        <f>G36</f>
        <v>264</v>
      </c>
      <c r="E27" s="240">
        <f>IF(H36=3, 0, D36)</f>
        <v>25</v>
      </c>
      <c r="F27" s="240">
        <f>C22</f>
        <v>111</v>
      </c>
      <c r="G27" s="224">
        <v>1</v>
      </c>
      <c r="H27" s="224" t="s">
        <v>138</v>
      </c>
    </row>
    <row r="28" spans="2:14">
      <c r="B28" s="228" t="s">
        <v>1702</v>
      </c>
      <c r="C28" s="241">
        <f>C17/C27</f>
        <v>0.66923076923076918</v>
      </c>
      <c r="D28" s="241">
        <f>C17/D27</f>
        <v>0.65909090909090906</v>
      </c>
      <c r="E28" s="241">
        <f>IF( E27&gt; 0, D17/E27, NA())</f>
        <v>0.12</v>
      </c>
      <c r="F28" s="241">
        <f>IF( F27&gt; 0, D17/F27, NA())</f>
        <v>2.7027027027027029E-2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262.24</v>
      </c>
      <c r="K29" s="224">
        <f>VLOOKUP(Anal_Robot_Code,Table1,12,TRUE)</f>
        <v>260</v>
      </c>
      <c r="L29" s="224">
        <f>IF($C8&gt;$C36,0,IF($C8&gt;$D36,$K32,IF($C8&lt;=$D36,$M32,"NG")))</f>
        <v>262.24</v>
      </c>
      <c r="M29" s="224">
        <f>IF($C8&gt;$C36,0,IF($C8&gt;$D36,$K32,IF($C8&lt;=$D36,$F36,"NG")))</f>
        <v>260</v>
      </c>
      <c r="N29" s="224">
        <f>IF($C8&gt;$C36,0,IF($C8&gt;=0,$K32))</f>
        <v>274</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130</v>
      </c>
      <c r="K32" s="224">
        <f>+(C8-L36)/K36</f>
        <v>274</v>
      </c>
      <c r="L32" s="224"/>
      <c r="M32" s="224">
        <f>+(C8-N36)/M36</f>
        <v>262.24</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M-900iA/260L</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155</v>
      </c>
      <c r="D36" s="224">
        <f>VLOOKUP($C$2,J3J6Table,4,FALSE)</f>
        <v>25</v>
      </c>
      <c r="E36" s="224">
        <f>VLOOKUP($C$2,J3J6Table,5,FALSE)</f>
        <v>130</v>
      </c>
      <c r="F36" s="224">
        <f>VLOOKUP($C$2,J3J6Table,6,FALSE)</f>
        <v>260</v>
      </c>
      <c r="G36" s="224">
        <f>VLOOKUP($C$2,J3J6Table,7,FALSE)</f>
        <v>264</v>
      </c>
      <c r="H36" s="224">
        <f>VLOOKUP($C$2,J3J6Table,8,FALSE)</f>
        <v>1</v>
      </c>
      <c r="J36" s="224">
        <f>VLOOKUP($C$2,J3J6Table,10,FALSE)</f>
        <v>155</v>
      </c>
      <c r="K36" s="224">
        <f>VLOOKUP($C$2,J3J6Table,11,FALSE)</f>
        <v>-1</v>
      </c>
      <c r="L36" s="224">
        <f>VLOOKUP($C$2,J3J6Table,12,FALSE)</f>
        <v>285</v>
      </c>
      <c r="M36" s="224">
        <f>VLOOKUP($C$2,J3J6Table,13,FALSE)</f>
        <v>-6.25</v>
      </c>
      <c r="N36" s="224">
        <f>VLOOKUP($C$2,J3J6Table,14,FALSE)</f>
        <v>1650</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214</v>
      </c>
      <c r="D3" s="9" t="str">
        <f>'Misc Data'!C26</f>
        <v>M-900iA/260L</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2.7042957433685687E-2</v>
      </c>
      <c r="P5" s="10"/>
      <c r="Q5" s="4" t="s">
        <v>91</v>
      </c>
      <c r="R5" s="10"/>
    </row>
    <row r="6" spans="1:18" ht="14.1" customHeight="1">
      <c r="B6" s="14" t="s">
        <v>427</v>
      </c>
      <c r="C6" s="72">
        <f>VLOOKUP($C$3,Table1,12)</f>
        <v>260</v>
      </c>
      <c r="D6" s="68">
        <f>HLOOKUP($C$4,$E$4:$H$12,3)</f>
        <v>195.17</v>
      </c>
      <c r="E6" s="68">
        <f>'Payload Input'!$E$18</f>
        <v>195.17</v>
      </c>
      <c r="F6" s="68">
        <f>'Payload Input'!$E$18</f>
        <v>195.17</v>
      </c>
      <c r="G6" s="147">
        <f>IF(('Misc Data'!$B$11=3),Anal_Input_1, 0)</f>
        <v>0</v>
      </c>
      <c r="H6" s="155">
        <f>I6</f>
        <v>0</v>
      </c>
      <c r="I6" s="156">
        <f>IF(('Misc Data'!$B$11=4),Anal_Input_1, 0)</f>
        <v>0</v>
      </c>
      <c r="J6" s="39"/>
      <c r="K6" s="51"/>
      <c r="L6" s="52"/>
      <c r="M6" s="400"/>
      <c r="N6" s="391" t="s">
        <v>840</v>
      </c>
      <c r="O6" s="52">
        <f>'Payload Input'!$E$21+'Payload Input'!$E$26</f>
        <v>0.28537786000000004</v>
      </c>
      <c r="Q6" s="31" t="s">
        <v>427</v>
      </c>
      <c r="R6" s="450">
        <f>D6</f>
        <v>195.17</v>
      </c>
    </row>
    <row r="7" spans="1:18" ht="14.1" customHeight="1">
      <c r="B7" s="14" t="s">
        <v>364</v>
      </c>
      <c r="C7" s="72">
        <f>VLOOKUP($C$3,Table1,6)</f>
        <v>1666</v>
      </c>
      <c r="D7" s="68">
        <f>IF(OR(Anal_Robot_Code=10111,Anal_Robot_Code=10214,Anal_Robot_Code=10215),"-",HLOOKUP($C$4,$E$4:$H$12,4))</f>
        <v>548.27779270884446</v>
      </c>
      <c r="E7" s="68">
        <f>'Payload Input'!$E$31</f>
        <v>548.27779270884446</v>
      </c>
      <c r="F7" s="68">
        <f>'Payload Input'!$E$31</f>
        <v>548.27779270884446</v>
      </c>
      <c r="G7" s="147">
        <f>IF(('Misc Data'!$B$11=3),Anal_Input_2, 0)</f>
        <v>0</v>
      </c>
      <c r="H7" s="155">
        <f>I7</f>
        <v>0</v>
      </c>
      <c r="I7" s="156">
        <f>IF(('Misc Data'!$B$11=4),Anal_Input_2, 0)</f>
        <v>0</v>
      </c>
      <c r="J7" s="39"/>
      <c r="K7" s="51" t="s">
        <v>1564</v>
      </c>
      <c r="L7" s="52">
        <f>D8*SIN(RADIANS(O10))</f>
        <v>51.724145222857864</v>
      </c>
      <c r="M7" s="39"/>
      <c r="N7" s="391" t="s">
        <v>3494</v>
      </c>
      <c r="O7" s="52">
        <f>DEGREES(IF(O6=0,0,ATAN2(O6,O5)))</f>
        <v>5.4132939206783446</v>
      </c>
      <c r="Q7" s="31" t="s">
        <v>364</v>
      </c>
      <c r="R7" s="31">
        <f>IF(Axis_Type&lt;&gt;2,D7,IF(Wrist_Down_Fix=1,L7,D8))</f>
        <v>548.27779270884446</v>
      </c>
    </row>
    <row r="8" spans="1:18" ht="14.1" customHeight="1">
      <c r="A8" s="4"/>
      <c r="B8" s="14" t="s">
        <v>365</v>
      </c>
      <c r="C8" s="72">
        <f>VLOOKUP($C$3,Table1,7)</f>
        <v>1666</v>
      </c>
      <c r="D8" s="68">
        <f>HLOOKUP($C$4,$E$4:$H$12,5)</f>
        <v>548.27779270884446</v>
      </c>
      <c r="E8" s="68">
        <f>'Payload Input'!$E$32</f>
        <v>548.27779270884446</v>
      </c>
      <c r="F8" s="68">
        <f>'Payload Input'!$E$32</f>
        <v>548.27779270884446</v>
      </c>
      <c r="G8" s="147">
        <f>IF(('Misc Data'!$B$11=3),Anal_Input_3, 0)</f>
        <v>0</v>
      </c>
      <c r="H8" s="155">
        <f>I8</f>
        <v>0</v>
      </c>
      <c r="I8" s="156">
        <f>IF(('Misc Data'!$B$11=4),Anal_Input_3, 0)</f>
        <v>0</v>
      </c>
      <c r="J8" s="39"/>
      <c r="K8" s="51" t="s">
        <v>3182</v>
      </c>
      <c r="L8" s="52">
        <f>D9*SIN(RADIANS(L5))</f>
        <v>0</v>
      </c>
      <c r="M8" s="39"/>
      <c r="N8" s="391" t="s">
        <v>1493</v>
      </c>
      <c r="O8" s="52">
        <f>O7+L5</f>
        <v>5.4132939206783446</v>
      </c>
      <c r="Q8" s="31" t="s">
        <v>365</v>
      </c>
      <c r="R8" s="31">
        <f>IF(Axis_Type&lt;&gt;2,D8,IF(Wrist_Down_Fix=1,L8,D9))</f>
        <v>548.27779270884446</v>
      </c>
    </row>
    <row r="9" spans="1:18" ht="14.1" customHeight="1">
      <c r="B9" s="14" t="s">
        <v>366</v>
      </c>
      <c r="C9" s="72">
        <f>VLOOKUP($C$3,Table1,8)</f>
        <v>715.4</v>
      </c>
      <c r="D9" s="68">
        <f>HLOOKUP($C$4,$E$4:$H$12,6)</f>
        <v>51.724145222857871</v>
      </c>
      <c r="E9" s="68">
        <f>'Payload Input'!$E$33</f>
        <v>51.724145222857871</v>
      </c>
      <c r="F9" s="68">
        <f>'Payload Input'!$E$33</f>
        <v>51.724145222857871</v>
      </c>
      <c r="G9" s="147">
        <f>IF(('Misc Data'!$B$11=3),Anal_Input_4, 0)</f>
        <v>0</v>
      </c>
      <c r="H9" s="155">
        <f>I9</f>
        <v>0</v>
      </c>
      <c r="I9" s="156">
        <f>IF(('Misc Data'!$B$11=4),Anal_Input_4, 0)</f>
        <v>0</v>
      </c>
      <c r="J9" s="39"/>
      <c r="K9" s="51"/>
      <c r="L9" s="52"/>
      <c r="M9" s="39"/>
      <c r="N9" s="391" t="s">
        <v>2815</v>
      </c>
      <c r="O9" s="52">
        <f>O7-L5</f>
        <v>5.4132939206783446</v>
      </c>
      <c r="Q9" s="31" t="s">
        <v>366</v>
      </c>
      <c r="R9" s="31">
        <f>IF(Axis_Count=1,0,D9)</f>
        <v>51.724145222857871</v>
      </c>
    </row>
    <row r="10" spans="1:18" ht="14.1" customHeight="1" thickBot="1">
      <c r="B10" s="14" t="s">
        <v>1914</v>
      </c>
      <c r="C10" s="72">
        <f>VLOOKUP($C$3,Table1,9)</f>
        <v>188.2</v>
      </c>
      <c r="D10" s="68">
        <f>HLOOKUP($C$4,$E$4:$H$12,7)</f>
        <v>51.741783227124806</v>
      </c>
      <c r="E10" s="68">
        <f>'Payload Input'!$E$36</f>
        <v>51.741783227124806</v>
      </c>
      <c r="F10" s="68">
        <f>'Payload Input'!$E$36</f>
        <v>51.741783227124806</v>
      </c>
      <c r="G10" s="147">
        <f>IF(('Misc Data'!$B$11=3),Anal_Input_5, 0)</f>
        <v>0</v>
      </c>
      <c r="H10" s="155">
        <f>I10/H13</f>
        <v>0</v>
      </c>
      <c r="I10" s="156">
        <f>IF(('Misc Data'!$B$11=4),Anal_Input_5, 0)</f>
        <v>0</v>
      </c>
      <c r="J10" s="39"/>
      <c r="K10" s="51" t="s">
        <v>1599</v>
      </c>
      <c r="L10" s="392">
        <f>D11</f>
        <v>51.513112071357078</v>
      </c>
      <c r="M10" s="39"/>
      <c r="N10" s="453" t="s">
        <v>882</v>
      </c>
      <c r="O10" s="54">
        <f>IF(O9&lt;=90,IF(90&lt;=O8,90,O8),O9)</f>
        <v>5.4132939206783446</v>
      </c>
      <c r="Q10" s="31" t="s">
        <v>1914</v>
      </c>
      <c r="R10" s="31">
        <f>IF(Axis_Type&lt;&gt;2,D10,IF(Wrist_Down_Fix=1,L10,D11))</f>
        <v>51.741783227124806</v>
      </c>
    </row>
    <row r="11" spans="1:18" ht="14.1" customHeight="1">
      <c r="B11" s="14" t="s">
        <v>1915</v>
      </c>
      <c r="C11" s="72">
        <f>VLOOKUP($C$3,Table1,10)</f>
        <v>188.2</v>
      </c>
      <c r="D11" s="68">
        <f>HLOOKUP($C$4,$E$4:$H$12,8)</f>
        <v>51.513112071357078</v>
      </c>
      <c r="E11" s="68">
        <f>'Payload Input'!$E$37</f>
        <v>51.513112071357078</v>
      </c>
      <c r="F11" s="68">
        <f>'Payload Input'!$E$37</f>
        <v>51.513112071357078</v>
      </c>
      <c r="G11" s="147">
        <f>IF(('Misc Data'!$B$11=3),Anal_Input_6, 0)</f>
        <v>0</v>
      </c>
      <c r="H11" s="155">
        <f>I11/H13</f>
        <v>0</v>
      </c>
      <c r="I11" s="156">
        <f>IF(('Misc Data'!$B$11=4),Anal_Input_6, 0)</f>
        <v>0</v>
      </c>
      <c r="J11" s="39"/>
      <c r="K11" s="51" t="s">
        <v>1060</v>
      </c>
      <c r="L11" s="392">
        <f>D12</f>
        <v>42.364032026281173</v>
      </c>
      <c r="M11" s="39"/>
      <c r="N11" s="151"/>
      <c r="Q11" s="31" t="s">
        <v>1915</v>
      </c>
      <c r="R11" s="31">
        <f>IF(Axis_Type&lt;&gt;2,D11,IF(Wrist_Down_Fix=1,L11,D12))</f>
        <v>51.513112071357078</v>
      </c>
    </row>
    <row r="12" spans="1:18" s="19" customFormat="1" ht="14.1" customHeight="1" thickBot="1">
      <c r="A12" s="5"/>
      <c r="B12" s="16" t="s">
        <v>554</v>
      </c>
      <c r="C12" s="73">
        <f>VLOOKUP($C$3,Table1,11)</f>
        <v>117.6</v>
      </c>
      <c r="D12" s="88">
        <f>HLOOKUP($C$4,$E$4:$H$12,9)</f>
        <v>42.364032026281173</v>
      </c>
      <c r="E12" s="69">
        <f>'Payload Input'!$E$38</f>
        <v>42.364032026281173</v>
      </c>
      <c r="F12" s="69">
        <f>'Payload Input'!$E$38</f>
        <v>42.364032026281173</v>
      </c>
      <c r="G12" s="148">
        <f>IF(('Misc Data'!$B$11=3),Anal_Input_7, 0)</f>
        <v>0</v>
      </c>
      <c r="H12" s="157">
        <f>I12/H13</f>
        <v>0</v>
      </c>
      <c r="I12" s="158">
        <f>IF(('Misc Data'!$B$11=4),Anal_Input_7, 0)</f>
        <v>0</v>
      </c>
      <c r="J12" s="32"/>
      <c r="K12" s="53"/>
      <c r="L12" s="393"/>
      <c r="M12" s="5"/>
      <c r="N12" s="151"/>
      <c r="O12" s="5"/>
      <c r="P12" s="5"/>
      <c r="Q12" s="31" t="s">
        <v>554</v>
      </c>
      <c r="R12" s="31">
        <f>IF(Axis_Count=1,0,D12)</f>
        <v>42.364032026281173</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74.5</v>
      </c>
      <c r="F20" s="39"/>
      <c r="I20" s="151"/>
      <c r="J20" s="39"/>
      <c r="K20" s="35"/>
      <c r="L20" s="400"/>
      <c r="M20" s="39"/>
      <c r="O20" s="400"/>
      <c r="Q20" s="31" t="s">
        <v>310</v>
      </c>
      <c r="R20" s="387">
        <f>D20</f>
        <v>74.5</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32</v>
      </c>
      <c r="E22" s="341">
        <f>TRUNC(D8/$C$7*100,0)</f>
        <v>32</v>
      </c>
      <c r="F22" s="341">
        <f>TRUNC(L7/$C$7*100,0)</f>
        <v>3</v>
      </c>
      <c r="G22" s="39"/>
      <c r="H22" s="39"/>
      <c r="I22" s="458" t="s">
        <v>493</v>
      </c>
      <c r="J22" s="39"/>
      <c r="K22" s="39"/>
      <c r="L22" s="455"/>
      <c r="M22" s="39"/>
      <c r="N22" s="337"/>
      <c r="O22" s="400"/>
      <c r="P22" s="39"/>
      <c r="Q22" s="55" t="s">
        <v>490</v>
      </c>
      <c r="R22" s="397">
        <f>IF(OR(Anal_Robot_Code=10111,Anal_Robot_Code=10214,Anal_Robot_Code=10215),I22,IF(Axis_Type&lt;&gt;2,D22,IF(Wrist_Down_Fix=1,F22,E22)))</f>
        <v>32</v>
      </c>
    </row>
    <row r="23" spans="1:18" s="4" customFormat="1" ht="14.1" customHeight="1">
      <c r="A23" s="5"/>
      <c r="B23" s="14" t="s">
        <v>491</v>
      </c>
      <c r="C23" s="65"/>
      <c r="D23" s="340">
        <f>IF(Wrist_Down_Fix=1,IF(C8&lt;D8,101,0),TRUNC(D8/$C$8*100,0))</f>
        <v>32</v>
      </c>
      <c r="E23" s="341">
        <f>TRUNC(D9/$C$8*100,0)</f>
        <v>3</v>
      </c>
      <c r="F23" s="341">
        <v>0</v>
      </c>
      <c r="G23" s="458" t="str">
        <f>IF(D23=0,"-","∞")</f>
        <v>∞</v>
      </c>
      <c r="H23" s="39"/>
      <c r="I23" s="39"/>
      <c r="J23" s="39"/>
      <c r="K23" s="39"/>
      <c r="L23" s="455"/>
      <c r="M23" s="39"/>
      <c r="N23" s="39"/>
      <c r="O23" s="400"/>
      <c r="P23" s="39"/>
      <c r="Q23" s="56" t="s">
        <v>491</v>
      </c>
      <c r="R23" s="459">
        <f>IF(Axis_Type&lt;&gt;2,IF(Wrist_Down_Fix=1,G23,D23),IF(Wrist_Down_Fix=1,F23,E23))</f>
        <v>32</v>
      </c>
    </row>
    <row r="24" spans="1:18" ht="14.1" customHeight="1" thickBot="1">
      <c r="B24" s="16" t="s">
        <v>492</v>
      </c>
      <c r="C24" s="66"/>
      <c r="D24" s="323">
        <f>TRUNC(D9/$C$9*100,0)</f>
        <v>7</v>
      </c>
      <c r="F24" s="39"/>
      <c r="G24" s="39"/>
      <c r="H24" s="39"/>
      <c r="I24" s="39"/>
      <c r="J24" s="39"/>
      <c r="K24" s="39"/>
      <c r="L24" s="455"/>
      <c r="M24" s="39"/>
      <c r="N24" s="414"/>
      <c r="O24" s="400"/>
      <c r="P24" s="39"/>
      <c r="Q24" s="48" t="s">
        <v>492</v>
      </c>
      <c r="R24" s="397">
        <f>IF(Axis_Count=1,0,D24)</f>
        <v>7</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62</v>
      </c>
      <c r="D26" s="340">
        <f>ROUNDUP(D10/$C10*100,1)</f>
        <v>27.5</v>
      </c>
      <c r="E26" s="341">
        <f>ROUNDUP(D11/$C10*100,1)</f>
        <v>27.400000000000002</v>
      </c>
      <c r="F26" s="341">
        <f>ROUNDUP(L10/$C$10*100,1)</f>
        <v>27.400000000000002</v>
      </c>
      <c r="G26" s="39"/>
      <c r="H26" s="39"/>
      <c r="I26" s="39"/>
      <c r="J26" s="39"/>
      <c r="K26" s="39"/>
      <c r="L26" s="455"/>
      <c r="M26" s="39"/>
      <c r="N26" s="39"/>
      <c r="O26" s="400"/>
      <c r="P26" s="39"/>
      <c r="Q26" s="55" t="s">
        <v>490</v>
      </c>
      <c r="R26" s="397">
        <f>IF(Axis_Type&lt;&gt;2,D26,IF(Wrist_Down_Fix=1,F26,E26))</f>
        <v>27.5</v>
      </c>
    </row>
    <row r="27" spans="1:18" ht="14.1" customHeight="1">
      <c r="B27" s="14" t="s">
        <v>491</v>
      </c>
      <c r="C27" s="65">
        <f>ROUND(C11/$G74*100,)</f>
        <v>61</v>
      </c>
      <c r="D27" s="340">
        <f>ROUNDUP(D11/$C11*100,1)</f>
        <v>27.400000000000002</v>
      </c>
      <c r="E27" s="341">
        <f>ROUNDUP(D12/$C11*100,1)</f>
        <v>22.6</v>
      </c>
      <c r="F27" s="341">
        <f>ROUNDUP(L11/$C11*100,1)</f>
        <v>22.6</v>
      </c>
      <c r="G27" s="39"/>
      <c r="H27" s="39"/>
      <c r="I27" s="39"/>
      <c r="J27" s="39"/>
      <c r="K27" s="39"/>
      <c r="L27" s="455"/>
      <c r="M27" s="39"/>
      <c r="N27" s="39"/>
      <c r="O27" s="400"/>
      <c r="P27" s="39"/>
      <c r="Q27" s="56" t="s">
        <v>491</v>
      </c>
      <c r="R27" s="397">
        <f>IF(Axis_Type&lt;&gt;2,D27,IF(Wrist_Down_Fix=1,F27,E27))</f>
        <v>27.400000000000002</v>
      </c>
    </row>
    <row r="28" spans="1:18" s="19" customFormat="1" ht="14.1" customHeight="1" thickBot="1">
      <c r="A28" s="5"/>
      <c r="B28" s="16" t="s">
        <v>492</v>
      </c>
      <c r="C28" s="66">
        <f>ROUND(C12/$G75*100,)</f>
        <v>97</v>
      </c>
      <c r="D28" s="323">
        <f>ROUNDUP(D12/$C12*100,1)</f>
        <v>36.1</v>
      </c>
      <c r="E28" s="5"/>
      <c r="F28" s="39"/>
      <c r="G28" s="5"/>
      <c r="H28" s="5"/>
      <c r="I28" s="5"/>
      <c r="J28" s="39"/>
      <c r="K28" s="39"/>
      <c r="L28" s="455"/>
      <c r="M28" s="39"/>
      <c r="N28" s="5"/>
      <c r="O28" s="5"/>
      <c r="P28" s="5"/>
      <c r="Q28" s="48" t="s">
        <v>492</v>
      </c>
      <c r="R28" s="398">
        <f>IF(Axis_Count=1,0,D28)</f>
        <v>36.1</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2443.2660000000001</v>
      </c>
      <c r="D65" s="38">
        <f>D7+(D10*$D$73)</f>
        <v>761.97135743686988</v>
      </c>
      <c r="E65" s="362">
        <f>D8+(D11*$D$73)</f>
        <v>761.02694556354913</v>
      </c>
      <c r="F65" s="135"/>
      <c r="G65" s="135"/>
      <c r="J65" s="39"/>
      <c r="K65" s="400"/>
      <c r="L65" s="135"/>
      <c r="M65" s="135"/>
      <c r="N65" s="39"/>
    </row>
    <row r="66" spans="1:18" s="4" customFormat="1" ht="14.1" customHeight="1">
      <c r="A66" s="5"/>
      <c r="B66" s="37" t="s">
        <v>491</v>
      </c>
      <c r="C66" s="38">
        <f xml:space="preserve"> C8+(C11*$D$74)</f>
        <v>2287.06</v>
      </c>
      <c r="D66" s="38">
        <f xml:space="preserve"> D8+(D11*$D$74)</f>
        <v>718.27106254432283</v>
      </c>
      <c r="E66" s="362">
        <f xml:space="preserve"> D9+(D12*$D$74)</f>
        <v>191.52545090958574</v>
      </c>
      <c r="F66" s="135"/>
      <c r="G66" s="135"/>
      <c r="H66" s="5"/>
      <c r="I66" s="5"/>
      <c r="J66" s="39"/>
      <c r="K66" s="400"/>
      <c r="L66" s="135"/>
      <c r="M66" s="135"/>
      <c r="N66" s="39"/>
      <c r="O66" s="5"/>
      <c r="P66" s="5"/>
      <c r="Q66" s="5"/>
      <c r="R66" s="5"/>
    </row>
    <row r="67" spans="1:18" ht="14.1" customHeight="1">
      <c r="B67" s="37" t="s">
        <v>492</v>
      </c>
      <c r="C67" s="38">
        <f>C9+(C12*$D$75)</f>
        <v>1111.712</v>
      </c>
      <c r="D67" s="38">
        <f>D9+(D12*$D$75)</f>
        <v>194.49093315142545</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247</v>
      </c>
      <c r="D73" s="557">
        <f>VLOOKUP($C73,Table2,2)</f>
        <v>4.13</v>
      </c>
      <c r="E73" s="557">
        <f>VLOOKUP($C73,Table2,3)</f>
        <v>2444.1799999999998</v>
      </c>
      <c r="F73" s="557">
        <f>VLOOKUP($C73,Table2,4)</f>
        <v>1666</v>
      </c>
      <c r="G73" s="557">
        <f>VLOOKUP($C73,Table2,5)</f>
        <v>301.27</v>
      </c>
      <c r="H73" s="39"/>
      <c r="I73" s="39"/>
      <c r="J73" s="39"/>
      <c r="K73" s="151"/>
      <c r="L73" s="415"/>
      <c r="M73" s="151"/>
    </row>
    <row r="74" spans="1:18" ht="14.1" customHeight="1">
      <c r="B74" s="37" t="s">
        <v>491</v>
      </c>
      <c r="C74" s="37">
        <f>VLOOKUP($C$3,Table1,4)</f>
        <v>248</v>
      </c>
      <c r="D74" s="557">
        <f>VLOOKUP($C74,Table2,2)</f>
        <v>3.3</v>
      </c>
      <c r="E74" s="557">
        <f>VLOOKUP($C74,Table2,3)</f>
        <v>2286.88</v>
      </c>
      <c r="F74" s="557">
        <f>VLOOKUP($C74,Table2,4)</f>
        <v>1666</v>
      </c>
      <c r="G74" s="557">
        <f>VLOOKUP($C74,Table2,5)</f>
        <v>307.33</v>
      </c>
      <c r="H74" s="39"/>
      <c r="I74" s="39"/>
      <c r="J74" s="39"/>
      <c r="K74" s="415"/>
      <c r="L74" s="415"/>
      <c r="M74" s="151"/>
    </row>
    <row r="75" spans="1:18" ht="14.1" customHeight="1">
      <c r="B75" s="37" t="s">
        <v>492</v>
      </c>
      <c r="C75" s="37">
        <f>VLOOKUP($C$3,Table1,5)</f>
        <v>249</v>
      </c>
      <c r="D75" s="557">
        <f>VLOOKUP($C75,Table2,2)</f>
        <v>3.37</v>
      </c>
      <c r="E75" s="557">
        <f>VLOOKUP($C75,Table2,3)</f>
        <v>1112.04</v>
      </c>
      <c r="F75" s="557">
        <f>VLOOKUP($C75,Table2,4)</f>
        <v>715.4</v>
      </c>
      <c r="G75" s="557">
        <f>VLOOKUP($C75,Table2,5)</f>
        <v>121.21</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214</v>
      </c>
      <c r="C26" s="93" t="str">
        <f>VLOOKUP(B26,Robotlist,2, FALSE)</f>
        <v>M-900iA/260L</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195.17</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2.629</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-0.63200000000000001</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1.538</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363.37299999999999</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161.25800000000001</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430.83</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214</v>
      </c>
      <c r="C3" s="207" t="str">
        <f>VLOOKUP(B3,Robotlist,2, FALSE)</f>
        <v>M-900iA/260L</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74.5</v>
      </c>
      <c r="D9" s="3">
        <v>0</v>
      </c>
      <c r="E9" s="3">
        <f>IF(H9&gt;$F$8, $F$8-$E$8, IF(H9&gt;$E$8, H9-$E$8, 0))</f>
        <v>0</v>
      </c>
      <c r="F9" s="3">
        <f>IF(H9&gt;$F$8, H9-$F$8, 0)</f>
        <v>0</v>
      </c>
      <c r="H9" s="3">
        <f>'Wrist Load Analysis'!R20</f>
        <v>74.5</v>
      </c>
    </row>
    <row r="11" spans="1:8">
      <c r="A11" s="3" t="s">
        <v>348</v>
      </c>
      <c r="B11" s="3" t="s">
        <v>2344</v>
      </c>
      <c r="C11" s="3">
        <f>IF(H11&gt;$E$8, $E$8, H11)</f>
        <v>32</v>
      </c>
      <c r="D11" s="3">
        <v>0</v>
      </c>
      <c r="E11" s="3">
        <f>IF(H11&gt;$F$8, $F$8-$E$8, IF(H11&gt;$E$8, H11-$E$8, 0))</f>
        <v>0</v>
      </c>
      <c r="F11" s="3">
        <f>IF(H11&gt;$F$8, H11-$F$8, 0)</f>
        <v>0</v>
      </c>
      <c r="H11" s="3">
        <f>IF(Anal_Robot_Code=10111,0,'Wrist Load Analysis'!R22)</f>
        <v>32</v>
      </c>
    </row>
    <row r="12" spans="1:8">
      <c r="B12" s="3" t="s">
        <v>1618</v>
      </c>
      <c r="C12" s="3">
        <f>IF(H12&gt;$E$8, $E$8, H12)</f>
        <v>32</v>
      </c>
      <c r="D12" s="3">
        <v>0</v>
      </c>
      <c r="E12" s="3">
        <f>IF(H12&gt;$F$8, $F$8-$E$8, IF(H12&gt;$E$8, H12-$E$8, 0))</f>
        <v>0</v>
      </c>
      <c r="F12" s="3">
        <f>IF(H12&gt;$F$8, H12-$F$8, 0)</f>
        <v>0</v>
      </c>
      <c r="H12" s="3">
        <f>'Wrist Load Analysis'!R23</f>
        <v>32</v>
      </c>
    </row>
    <row r="13" spans="1:8">
      <c r="B13" s="3" t="str">
        <f>IF(Axis_Count=1,"","J6")</f>
        <v>J6</v>
      </c>
      <c r="C13" s="3">
        <f>IF(H13&gt;$E$8, $E$8, H13)</f>
        <v>7</v>
      </c>
      <c r="D13" s="3">
        <v>0</v>
      </c>
      <c r="E13" s="3">
        <f>IF(H13&gt;$F$8, $F$8-$E$8, IF(H13&gt;$E$8, H13-$E$8, 0))</f>
        <v>0</v>
      </c>
      <c r="F13" s="3">
        <f>IF(H13&gt;$F$8, H13-$F$8, 0)</f>
        <v>0</v>
      </c>
      <c r="H13" s="3">
        <f>'Wrist Load Analysis'!R24</f>
        <v>7</v>
      </c>
    </row>
    <row r="15" spans="1:8">
      <c r="A15" s="3" t="s">
        <v>488</v>
      </c>
      <c r="B15" s="3" t="s">
        <v>2344</v>
      </c>
      <c r="C15" s="3">
        <f>IF(H15&gt;E8, E8, H15)</f>
        <v>27.5</v>
      </c>
      <c r="D15" s="3">
        <v>0</v>
      </c>
      <c r="E15" s="3">
        <f>IF(H15&gt;$F$8, $F$8-$E$8, IF(H15&gt;$E$8, H15-$E$8, 0))</f>
        <v>0</v>
      </c>
      <c r="F15" s="3">
        <f>IF(H15&gt;$F$8, H15-$F$8, 0)</f>
        <v>0</v>
      </c>
      <c r="H15" s="3">
        <f>'Wrist Load Analysis'!R26</f>
        <v>27.5</v>
      </c>
    </row>
    <row r="16" spans="1:8">
      <c r="B16" s="3" t="s">
        <v>1618</v>
      </c>
      <c r="C16" s="3">
        <f>IF(H16&gt;E8, E8, H16)</f>
        <v>27.400000000000002</v>
      </c>
      <c r="D16" s="3">
        <v>0</v>
      </c>
      <c r="E16" s="3">
        <f>IF(H16&gt;$F$8, $F$8-$E$8, IF(H16&gt;$E$8, H16-$E$8, 0))</f>
        <v>0</v>
      </c>
      <c r="F16" s="3">
        <f>IF(H16&gt;$F$8, H16-$F$8, 0)</f>
        <v>0</v>
      </c>
      <c r="H16" s="3">
        <f>'Wrist Load Analysis'!R27</f>
        <v>27.400000000000002</v>
      </c>
    </row>
    <row r="17" spans="1:16">
      <c r="B17" s="3" t="str">
        <f>IF(Axis_Count=1,"","J6")</f>
        <v>J6</v>
      </c>
      <c r="C17" s="3">
        <f>IF(H17&gt;E8, E8, H17)</f>
        <v>36.1</v>
      </c>
      <c r="D17" s="3">
        <v>0</v>
      </c>
      <c r="E17" s="3">
        <f>IF(H17&gt;$F$8, $F$8-$E$8, IF(H17&gt;$E$8, H17-$E$8, 0))</f>
        <v>0</v>
      </c>
      <c r="F17" s="3">
        <f>IF(H17&gt;$F$8, H17-$F$8, 0)</f>
        <v>0</v>
      </c>
      <c r="H17" s="3">
        <f>'Wrist Load Analysis'!R28</f>
        <v>36.1</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247</v>
      </c>
      <c r="D25" s="3">
        <f>VLOOKUP($B$3,Table1,6)</f>
        <v>1666</v>
      </c>
      <c r="E25" s="3">
        <f>VLOOKUP($B$3,Table1,9)</f>
        <v>188.2</v>
      </c>
      <c r="F25" s="209">
        <f>'Wrist Load Analysis'!R7</f>
        <v>548.27779270884446</v>
      </c>
      <c r="G25" s="209">
        <f>'Wrist Load Analysis'!R10</f>
        <v>51.741783227124806</v>
      </c>
      <c r="H25" s="3">
        <f>VLOOKUP($C25,Table2,2)</f>
        <v>4.13</v>
      </c>
      <c r="I25" s="3">
        <f>VLOOKUP($C25,Table2,3)</f>
        <v>2444.1799999999998</v>
      </c>
      <c r="J25" s="3">
        <f>VLOOKUP($C25,Table2,4)</f>
        <v>1666</v>
      </c>
      <c r="K25" s="3">
        <f>VLOOKUP($C25,Table2,5)</f>
        <v>301.27</v>
      </c>
      <c r="L25" s="208">
        <f>I25-(K25*H25)</f>
        <v>1199.9349</v>
      </c>
      <c r="M25" s="3">
        <v>0</v>
      </c>
      <c r="N25" s="3">
        <f>D25</f>
        <v>1666</v>
      </c>
      <c r="O25" s="3">
        <f t="shared" ref="O25:P27" si="0">M25*$P$23</f>
        <v>0</v>
      </c>
      <c r="P25" s="3">
        <f t="shared" si="0"/>
        <v>1499.4</v>
      </c>
    </row>
    <row r="26" spans="1:16">
      <c r="F26" s="209"/>
      <c r="G26" s="209"/>
      <c r="L26" s="208"/>
      <c r="M26" s="3">
        <f>E25</f>
        <v>188.2</v>
      </c>
      <c r="N26" s="3">
        <f>N25</f>
        <v>1666</v>
      </c>
      <c r="O26" s="3">
        <f t="shared" si="0"/>
        <v>169.38</v>
      </c>
      <c r="P26" s="3">
        <f t="shared" si="0"/>
        <v>1499.4</v>
      </c>
    </row>
    <row r="27" spans="1:16">
      <c r="F27" s="209"/>
      <c r="G27" s="209"/>
      <c r="L27" s="208"/>
      <c r="M27" s="3">
        <f>M26</f>
        <v>188.2</v>
      </c>
      <c r="N27" s="208">
        <v>0</v>
      </c>
      <c r="O27" s="3">
        <f t="shared" si="0"/>
        <v>169.38</v>
      </c>
      <c r="P27" s="3">
        <f t="shared" si="0"/>
        <v>0</v>
      </c>
    </row>
    <row r="28" spans="1:16">
      <c r="F28" s="209"/>
      <c r="G28" s="209"/>
      <c r="L28" s="208"/>
    </row>
    <row r="29" spans="1:16">
      <c r="B29" s="3" t="s">
        <v>1618</v>
      </c>
      <c r="C29" s="3">
        <f>VLOOKUP($B$3,Table1,4)</f>
        <v>248</v>
      </c>
      <c r="D29" s="3">
        <f>VLOOKUP($B$3,Table1,7)</f>
        <v>1666</v>
      </c>
      <c r="E29" s="3">
        <f>VLOOKUP($B$3,Table1,10)</f>
        <v>188.2</v>
      </c>
      <c r="F29" s="209">
        <f>'Wrist Load Analysis'!R8</f>
        <v>548.27779270884446</v>
      </c>
      <c r="G29" s="209">
        <f>'Wrist Load Analysis'!R11</f>
        <v>51.513112071357078</v>
      </c>
      <c r="H29" s="3">
        <f>VLOOKUP($C29,Table2,2)</f>
        <v>3.3</v>
      </c>
      <c r="I29" s="3">
        <f>VLOOKUP($C29,Table2,3)</f>
        <v>2286.88</v>
      </c>
      <c r="J29" s="3">
        <f>VLOOKUP($C29,Table2,4)</f>
        <v>1666</v>
      </c>
      <c r="K29" s="3">
        <f>VLOOKUP($C29,Table2,5)</f>
        <v>307.33</v>
      </c>
      <c r="L29" s="208">
        <f>I29-(K29*H29)</f>
        <v>1272.6910000000003</v>
      </c>
      <c r="M29" s="3">
        <v>0</v>
      </c>
      <c r="N29" s="3">
        <f>D29</f>
        <v>1666</v>
      </c>
      <c r="O29" s="3">
        <f t="shared" ref="O29:P31" si="1">M29*$P$23</f>
        <v>0</v>
      </c>
      <c r="P29" s="3">
        <f t="shared" si="1"/>
        <v>1499.4</v>
      </c>
    </row>
    <row r="30" spans="1:16">
      <c r="F30" s="209"/>
      <c r="G30" s="209"/>
      <c r="L30" s="208"/>
      <c r="M30" s="3">
        <f>E29</f>
        <v>188.2</v>
      </c>
      <c r="N30" s="3">
        <f>N29</f>
        <v>1666</v>
      </c>
      <c r="O30" s="3">
        <f t="shared" si="1"/>
        <v>169.38</v>
      </c>
      <c r="P30" s="3">
        <f t="shared" si="1"/>
        <v>1499.4</v>
      </c>
    </row>
    <row r="31" spans="1:16">
      <c r="F31" s="209"/>
      <c r="G31" s="209"/>
      <c r="L31" s="208"/>
      <c r="M31" s="3">
        <f>M30</f>
        <v>188.2</v>
      </c>
      <c r="N31" s="208">
        <v>0</v>
      </c>
      <c r="O31" s="3">
        <f t="shared" si="1"/>
        <v>169.38</v>
      </c>
      <c r="P31" s="3">
        <f t="shared" si="1"/>
        <v>0</v>
      </c>
    </row>
    <row r="32" spans="1:16">
      <c r="F32" s="209"/>
      <c r="G32" s="209"/>
      <c r="L32" s="208"/>
    </row>
    <row r="33" spans="2:16">
      <c r="B33" s="3" t="s">
        <v>270</v>
      </c>
      <c r="C33" s="3">
        <f>VLOOKUP($B$3,Table1,5)</f>
        <v>249</v>
      </c>
      <c r="D33" s="3">
        <f>VLOOKUP($B$3,Table1,8)</f>
        <v>715.4</v>
      </c>
      <c r="E33" s="3">
        <f>VLOOKUP($B$3,Table1,11)</f>
        <v>117.6</v>
      </c>
      <c r="F33" s="209">
        <f>'Wrist Load Analysis'!R9</f>
        <v>51.724145222857871</v>
      </c>
      <c r="G33" s="209">
        <f>'Wrist Load Analysis'!R12</f>
        <v>42.364032026281173</v>
      </c>
      <c r="H33" s="3">
        <f>VLOOKUP($C33,Table2,2)</f>
        <v>3.37</v>
      </c>
      <c r="I33" s="3">
        <f>VLOOKUP($C33,Table2,3)</f>
        <v>1112.04</v>
      </c>
      <c r="J33" s="3">
        <f>VLOOKUP($C33,Table2,4)</f>
        <v>715.4</v>
      </c>
      <c r="K33" s="3">
        <f>VLOOKUP($C33,Table2,5)</f>
        <v>121.21</v>
      </c>
      <c r="L33" s="208">
        <f>I33-(K33*H33)</f>
        <v>703.56230000000005</v>
      </c>
      <c r="M33" s="3">
        <v>0</v>
      </c>
      <c r="N33" s="3">
        <f>D33</f>
        <v>715.4</v>
      </c>
      <c r="O33" s="3">
        <f t="shared" ref="O33:P35" si="2">M33*$P$23</f>
        <v>0</v>
      </c>
      <c r="P33" s="3">
        <f t="shared" si="2"/>
        <v>643.86</v>
      </c>
    </row>
    <row r="34" spans="2:16">
      <c r="M34" s="3">
        <f>E33</f>
        <v>117.6</v>
      </c>
      <c r="N34" s="3">
        <f>N33</f>
        <v>715.4</v>
      </c>
      <c r="O34" s="3">
        <f t="shared" si="2"/>
        <v>105.84</v>
      </c>
      <c r="P34" s="3">
        <f t="shared" si="2"/>
        <v>643.86</v>
      </c>
    </row>
    <row r="35" spans="2:16">
      <c r="M35" s="3">
        <f>M34</f>
        <v>117.6</v>
      </c>
      <c r="N35" s="208">
        <v>0</v>
      </c>
      <c r="O35" s="3">
        <f t="shared" si="2"/>
        <v>105.84</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9"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1000"/>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1" t="str">
        <f>Coordinates!B1</f>
        <v>Coordinates</v>
      </c>
      <c r="C19" s="1002"/>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3" t="s">
        <v>4023</v>
      </c>
      <c r="C20" s="1004"/>
      <c r="D20" s="575" t="str">
        <f>IF(multi_PL_flg=0,"CofG-SI",IF(multi_PL_flg=1,"Box",""))</f>
        <v>CofG-SI</v>
      </c>
      <c r="E20" s="576"/>
      <c r="F20" s="576"/>
      <c r="G20" s="576"/>
      <c r="H20" s="996" t="s">
        <v>4026</v>
      </c>
      <c r="I20" s="997"/>
      <c r="J20" s="998"/>
      <c r="K20" s="996" t="s">
        <v>4027</v>
      </c>
      <c r="L20" s="997"/>
      <c r="M20" s="997"/>
      <c r="N20" s="998"/>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5">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6"/>
      <c r="C4" s="1008" t="s">
        <v>1550</v>
      </c>
      <c r="D4" s="586">
        <v>1</v>
      </c>
      <c r="E4" s="728"/>
      <c r="F4" s="587"/>
      <c r="G4" s="587"/>
      <c r="H4" s="587"/>
      <c r="I4" s="587"/>
      <c r="J4" s="587"/>
      <c r="K4" s="587"/>
      <c r="L4" s="588"/>
      <c r="M4" s="610"/>
    </row>
    <row r="5" spans="2:13" ht="12.75" customHeight="1">
      <c r="B5" s="1006"/>
      <c r="C5" s="1009"/>
      <c r="D5" s="586">
        <v>2</v>
      </c>
      <c r="E5" s="728"/>
      <c r="F5" s="587"/>
      <c r="G5" s="587"/>
      <c r="H5" s="587"/>
      <c r="I5" s="587"/>
      <c r="J5" s="587"/>
      <c r="K5" s="587"/>
      <c r="L5" s="588"/>
      <c r="M5" s="610"/>
    </row>
    <row r="6" spans="2:13" ht="12.75" customHeight="1">
      <c r="B6" s="1006"/>
      <c r="C6" s="1009"/>
      <c r="D6" s="586">
        <v>3</v>
      </c>
      <c r="E6" s="728"/>
      <c r="F6" s="587"/>
      <c r="G6" s="587"/>
      <c r="H6" s="587"/>
      <c r="I6" s="587"/>
      <c r="J6" s="587"/>
      <c r="K6" s="587"/>
      <c r="L6" s="588"/>
      <c r="M6" s="610"/>
    </row>
    <row r="7" spans="2:13" ht="12.75" customHeight="1">
      <c r="B7" s="1006"/>
      <c r="C7" s="1009"/>
      <c r="D7" s="586">
        <v>4</v>
      </c>
      <c r="E7" s="728"/>
      <c r="F7" s="587"/>
      <c r="G7" s="587"/>
      <c r="H7" s="587"/>
      <c r="I7" s="587"/>
      <c r="J7" s="587"/>
      <c r="K7" s="587"/>
      <c r="L7" s="588"/>
      <c r="M7" s="610"/>
    </row>
    <row r="8" spans="2:13" ht="12.75" customHeight="1">
      <c r="B8" s="1006"/>
      <c r="C8" s="1009"/>
      <c r="D8" s="586">
        <v>5</v>
      </c>
      <c r="E8" s="728"/>
      <c r="F8" s="587"/>
      <c r="G8" s="587"/>
      <c r="H8" s="587"/>
      <c r="I8" s="587"/>
      <c r="J8" s="587"/>
      <c r="K8" s="587"/>
      <c r="L8" s="588"/>
      <c r="M8" s="610"/>
    </row>
    <row r="9" spans="2:13" ht="12.75" customHeight="1">
      <c r="B9" s="1006"/>
      <c r="C9" s="1009"/>
      <c r="D9" s="586">
        <v>6</v>
      </c>
      <c r="E9" s="728"/>
      <c r="F9" s="587"/>
      <c r="G9" s="587"/>
      <c r="H9" s="587"/>
      <c r="I9" s="587"/>
      <c r="J9" s="587"/>
      <c r="K9" s="587"/>
      <c r="L9" s="588"/>
      <c r="M9" s="610"/>
    </row>
    <row r="10" spans="2:13" ht="12.75" customHeight="1">
      <c r="B10" s="1006"/>
      <c r="C10" s="1009"/>
      <c r="D10" s="586">
        <v>7</v>
      </c>
      <c r="E10" s="728"/>
      <c r="F10" s="587"/>
      <c r="G10" s="587"/>
      <c r="H10" s="587"/>
      <c r="I10" s="587"/>
      <c r="J10" s="587"/>
      <c r="K10" s="587"/>
      <c r="L10" s="588"/>
      <c r="M10" s="610"/>
    </row>
    <row r="11" spans="2:13" ht="12.75" customHeight="1">
      <c r="B11" s="1006"/>
      <c r="C11" s="1009"/>
      <c r="D11" s="586">
        <v>8</v>
      </c>
      <c r="E11" s="728"/>
      <c r="F11" s="587"/>
      <c r="G11" s="587"/>
      <c r="H11" s="587"/>
      <c r="I11" s="587"/>
      <c r="J11" s="587"/>
      <c r="K11" s="587"/>
      <c r="L11" s="588"/>
      <c r="M11" s="610"/>
    </row>
    <row r="12" spans="2:13" ht="12.75" customHeight="1">
      <c r="B12" s="1006"/>
      <c r="C12" s="1009"/>
      <c r="D12" s="586">
        <v>9</v>
      </c>
      <c r="E12" s="728"/>
      <c r="F12" s="587"/>
      <c r="G12" s="587"/>
      <c r="H12" s="587"/>
      <c r="I12" s="587"/>
      <c r="J12" s="587"/>
      <c r="K12" s="587"/>
      <c r="L12" s="588"/>
      <c r="M12" s="610"/>
    </row>
    <row r="13" spans="2:13" ht="12.75" customHeight="1">
      <c r="B13" s="1006"/>
      <c r="C13" s="1009"/>
      <c r="D13" s="80">
        <v>10</v>
      </c>
      <c r="E13" s="729"/>
      <c r="F13" s="589"/>
      <c r="G13" s="589"/>
      <c r="H13" s="589"/>
      <c r="I13" s="589"/>
      <c r="J13" s="589"/>
      <c r="K13" s="589"/>
      <c r="L13" s="590"/>
      <c r="M13" s="610"/>
    </row>
    <row r="14" spans="2:13" ht="13.5" customHeight="1" thickBot="1">
      <c r="B14" s="1007"/>
      <c r="C14" s="1010"/>
      <c r="D14" s="591" t="s">
        <v>4022</v>
      </c>
      <c r="E14" s="730"/>
      <c r="F14" s="592"/>
      <c r="G14" s="592"/>
      <c r="H14" s="592"/>
      <c r="I14" s="592"/>
      <c r="J14" s="592"/>
      <c r="K14" s="592"/>
      <c r="L14" s="593"/>
      <c r="M14" s="610"/>
    </row>
    <row r="15" spans="2:13" ht="15" customHeight="1">
      <c r="B15" s="1005">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6"/>
      <c r="C16" s="1008"/>
      <c r="D16" s="586">
        <v>1</v>
      </c>
      <c r="E16" s="728"/>
      <c r="F16" s="587"/>
      <c r="G16" s="587"/>
      <c r="H16" s="587"/>
      <c r="I16" s="587"/>
      <c r="J16" s="587"/>
      <c r="K16" s="587"/>
      <c r="L16" s="588"/>
      <c r="M16" s="610"/>
    </row>
    <row r="17" spans="2:13" ht="12.75" customHeight="1">
      <c r="B17" s="1006"/>
      <c r="C17" s="1009"/>
      <c r="D17" s="586">
        <v>2</v>
      </c>
      <c r="E17" s="728"/>
      <c r="F17" s="587"/>
      <c r="G17" s="587"/>
      <c r="H17" s="587"/>
      <c r="I17" s="587"/>
      <c r="J17" s="587"/>
      <c r="K17" s="587"/>
      <c r="L17" s="588"/>
      <c r="M17" s="610"/>
    </row>
    <row r="18" spans="2:13" ht="12.75" customHeight="1">
      <c r="B18" s="1006"/>
      <c r="C18" s="1009"/>
      <c r="D18" s="586">
        <v>3</v>
      </c>
      <c r="E18" s="728"/>
      <c r="F18" s="587"/>
      <c r="G18" s="587"/>
      <c r="H18" s="587"/>
      <c r="I18" s="587"/>
      <c r="J18" s="587"/>
      <c r="K18" s="587"/>
      <c r="L18" s="588"/>
      <c r="M18" s="610"/>
    </row>
    <row r="19" spans="2:13" ht="12.75" customHeight="1">
      <c r="B19" s="1006"/>
      <c r="C19" s="1009"/>
      <c r="D19" s="586">
        <v>4</v>
      </c>
      <c r="E19" s="728"/>
      <c r="F19" s="587"/>
      <c r="G19" s="587"/>
      <c r="H19" s="587"/>
      <c r="I19" s="587"/>
      <c r="J19" s="587"/>
      <c r="K19" s="587"/>
      <c r="L19" s="588"/>
      <c r="M19" s="610"/>
    </row>
    <row r="20" spans="2:13" ht="12.75" customHeight="1">
      <c r="B20" s="1006"/>
      <c r="C20" s="1009"/>
      <c r="D20" s="586">
        <v>5</v>
      </c>
      <c r="E20" s="728"/>
      <c r="F20" s="587"/>
      <c r="G20" s="587"/>
      <c r="H20" s="587"/>
      <c r="I20" s="587"/>
      <c r="J20" s="587"/>
      <c r="K20" s="587"/>
      <c r="L20" s="588"/>
      <c r="M20" s="610"/>
    </row>
    <row r="21" spans="2:13" ht="12.75" customHeight="1">
      <c r="B21" s="1006"/>
      <c r="C21" s="1009"/>
      <c r="D21" s="586">
        <v>6</v>
      </c>
      <c r="E21" s="728"/>
      <c r="F21" s="587"/>
      <c r="G21" s="587"/>
      <c r="H21" s="587"/>
      <c r="I21" s="587"/>
      <c r="J21" s="587"/>
      <c r="K21" s="587"/>
      <c r="L21" s="588"/>
      <c r="M21" s="610"/>
    </row>
    <row r="22" spans="2:13" ht="12.75" customHeight="1">
      <c r="B22" s="1006"/>
      <c r="C22" s="1009"/>
      <c r="D22" s="586">
        <v>7</v>
      </c>
      <c r="E22" s="728"/>
      <c r="F22" s="587"/>
      <c r="G22" s="587"/>
      <c r="H22" s="587"/>
      <c r="I22" s="587"/>
      <c r="J22" s="587"/>
      <c r="K22" s="587"/>
      <c r="L22" s="588"/>
      <c r="M22" s="610"/>
    </row>
    <row r="23" spans="2:13" ht="12.75" customHeight="1">
      <c r="B23" s="1006"/>
      <c r="C23" s="1009"/>
      <c r="D23" s="586">
        <v>8</v>
      </c>
      <c r="E23" s="728"/>
      <c r="F23" s="587"/>
      <c r="G23" s="587"/>
      <c r="H23" s="587"/>
      <c r="I23" s="587"/>
      <c r="J23" s="587"/>
      <c r="K23" s="587"/>
      <c r="L23" s="588"/>
      <c r="M23" s="610"/>
    </row>
    <row r="24" spans="2:13" ht="12.75" customHeight="1">
      <c r="B24" s="1006"/>
      <c r="C24" s="1009"/>
      <c r="D24" s="586">
        <v>9</v>
      </c>
      <c r="E24" s="728"/>
      <c r="F24" s="587"/>
      <c r="G24" s="587"/>
      <c r="H24" s="587"/>
      <c r="I24" s="587"/>
      <c r="J24" s="587"/>
      <c r="K24" s="587"/>
      <c r="L24" s="588"/>
      <c r="M24" s="610"/>
    </row>
    <row r="25" spans="2:13" ht="12.75" customHeight="1">
      <c r="B25" s="1006"/>
      <c r="C25" s="1009"/>
      <c r="D25" s="80">
        <v>10</v>
      </c>
      <c r="E25" s="729"/>
      <c r="F25" s="589"/>
      <c r="G25" s="589"/>
      <c r="H25" s="589"/>
      <c r="I25" s="589"/>
      <c r="J25" s="589"/>
      <c r="K25" s="589"/>
      <c r="L25" s="590"/>
      <c r="M25" s="610"/>
    </row>
    <row r="26" spans="2:13" ht="13.5" customHeight="1" thickBot="1">
      <c r="B26" s="1007"/>
      <c r="C26" s="1010"/>
      <c r="D26" s="591" t="str">
        <f>$D$14</f>
        <v>Total Load</v>
      </c>
      <c r="E26" s="730"/>
      <c r="F26" s="592"/>
      <c r="G26" s="592"/>
      <c r="H26" s="592"/>
      <c r="I26" s="592"/>
      <c r="J26" s="592"/>
      <c r="K26" s="592"/>
      <c r="L26" s="593"/>
      <c r="M26" s="610"/>
    </row>
    <row r="27" spans="2:13" ht="15" customHeight="1">
      <c r="B27" s="1005">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6"/>
      <c r="C28" s="1008"/>
      <c r="D28" s="586">
        <v>1</v>
      </c>
      <c r="E28" s="728"/>
      <c r="F28" s="587"/>
      <c r="G28" s="587"/>
      <c r="H28" s="587"/>
      <c r="I28" s="587"/>
      <c r="J28" s="587"/>
      <c r="K28" s="587"/>
      <c r="L28" s="588"/>
      <c r="M28" s="610"/>
    </row>
    <row r="29" spans="2:13" ht="12.75" customHeight="1">
      <c r="B29" s="1006"/>
      <c r="C29" s="1009"/>
      <c r="D29" s="586">
        <v>2</v>
      </c>
      <c r="E29" s="728"/>
      <c r="F29" s="587"/>
      <c r="G29" s="587"/>
      <c r="H29" s="587"/>
      <c r="I29" s="587"/>
      <c r="J29" s="587"/>
      <c r="K29" s="587"/>
      <c r="L29" s="588"/>
      <c r="M29" s="610"/>
    </row>
    <row r="30" spans="2:13" ht="12.75" customHeight="1">
      <c r="B30" s="1006"/>
      <c r="C30" s="1009"/>
      <c r="D30" s="586">
        <v>3</v>
      </c>
      <c r="E30" s="728"/>
      <c r="F30" s="587"/>
      <c r="G30" s="587"/>
      <c r="H30" s="587"/>
      <c r="I30" s="587"/>
      <c r="J30" s="587"/>
      <c r="K30" s="587"/>
      <c r="L30" s="588"/>
      <c r="M30" s="610"/>
    </row>
    <row r="31" spans="2:13" ht="12.75" customHeight="1">
      <c r="B31" s="1006"/>
      <c r="C31" s="1009"/>
      <c r="D31" s="586">
        <v>4</v>
      </c>
      <c r="E31" s="728"/>
      <c r="F31" s="587"/>
      <c r="G31" s="587"/>
      <c r="H31" s="587"/>
      <c r="I31" s="587"/>
      <c r="J31" s="587"/>
      <c r="K31" s="587"/>
      <c r="L31" s="588"/>
      <c r="M31" s="610"/>
    </row>
    <row r="32" spans="2:13" ht="12.75" customHeight="1">
      <c r="B32" s="1006"/>
      <c r="C32" s="1009"/>
      <c r="D32" s="586">
        <v>5</v>
      </c>
      <c r="E32" s="728"/>
      <c r="F32" s="587"/>
      <c r="G32" s="587"/>
      <c r="H32" s="587"/>
      <c r="I32" s="587"/>
      <c r="J32" s="587"/>
      <c r="K32" s="587"/>
      <c r="L32" s="588"/>
      <c r="M32" s="610"/>
    </row>
    <row r="33" spans="2:13" ht="12.75" customHeight="1">
      <c r="B33" s="1006"/>
      <c r="C33" s="1009"/>
      <c r="D33" s="586">
        <v>6</v>
      </c>
      <c r="E33" s="728"/>
      <c r="F33" s="587"/>
      <c r="G33" s="587"/>
      <c r="H33" s="587"/>
      <c r="I33" s="587"/>
      <c r="J33" s="587"/>
      <c r="K33" s="587"/>
      <c r="L33" s="588"/>
      <c r="M33" s="610"/>
    </row>
    <row r="34" spans="2:13" ht="12.75" customHeight="1">
      <c r="B34" s="1006"/>
      <c r="C34" s="1009"/>
      <c r="D34" s="586">
        <v>7</v>
      </c>
      <c r="E34" s="728"/>
      <c r="F34" s="587"/>
      <c r="G34" s="587"/>
      <c r="H34" s="587"/>
      <c r="I34" s="587"/>
      <c r="J34" s="587"/>
      <c r="K34" s="587"/>
      <c r="L34" s="588"/>
      <c r="M34" s="610"/>
    </row>
    <row r="35" spans="2:13" ht="12.75" customHeight="1">
      <c r="B35" s="1006"/>
      <c r="C35" s="1009"/>
      <c r="D35" s="586">
        <v>8</v>
      </c>
      <c r="E35" s="728"/>
      <c r="F35" s="587"/>
      <c r="G35" s="587"/>
      <c r="H35" s="587"/>
      <c r="I35" s="587"/>
      <c r="J35" s="587"/>
      <c r="K35" s="587"/>
      <c r="L35" s="588"/>
      <c r="M35" s="610"/>
    </row>
    <row r="36" spans="2:13" ht="12.75" customHeight="1">
      <c r="B36" s="1006"/>
      <c r="C36" s="1009"/>
      <c r="D36" s="586">
        <v>9</v>
      </c>
      <c r="E36" s="728"/>
      <c r="F36" s="587"/>
      <c r="G36" s="587"/>
      <c r="H36" s="587"/>
      <c r="I36" s="587"/>
      <c r="J36" s="587"/>
      <c r="K36" s="587"/>
      <c r="L36" s="588"/>
      <c r="M36" s="610"/>
    </row>
    <row r="37" spans="2:13" ht="12.75" customHeight="1">
      <c r="B37" s="1006"/>
      <c r="C37" s="1009"/>
      <c r="D37" s="80">
        <v>10</v>
      </c>
      <c r="E37" s="729"/>
      <c r="F37" s="589"/>
      <c r="G37" s="589"/>
      <c r="H37" s="589"/>
      <c r="I37" s="589"/>
      <c r="J37" s="589"/>
      <c r="K37" s="589"/>
      <c r="L37" s="590"/>
      <c r="M37" s="610"/>
    </row>
    <row r="38" spans="2:13" ht="13.5" customHeight="1" thickBot="1">
      <c r="B38" s="1007"/>
      <c r="C38" s="1010"/>
      <c r="D38" s="591" t="str">
        <f>$D$14</f>
        <v>Total Load</v>
      </c>
      <c r="E38" s="730"/>
      <c r="F38" s="592"/>
      <c r="G38" s="592"/>
      <c r="H38" s="592"/>
      <c r="I38" s="592"/>
      <c r="J38" s="592"/>
      <c r="K38" s="592"/>
      <c r="L38" s="593"/>
      <c r="M38" s="610"/>
    </row>
    <row r="39" spans="2:13" ht="15" customHeight="1">
      <c r="B39" s="1005">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6"/>
      <c r="C40" s="1008" t="s">
        <v>85</v>
      </c>
      <c r="D40" s="586">
        <v>1</v>
      </c>
      <c r="E40" s="728"/>
      <c r="F40" s="587"/>
      <c r="G40" s="587"/>
      <c r="H40" s="587"/>
      <c r="I40" s="587"/>
      <c r="J40" s="587"/>
      <c r="K40" s="587"/>
      <c r="L40" s="588"/>
      <c r="M40" s="610"/>
    </row>
    <row r="41" spans="2:13" ht="12.75" customHeight="1">
      <c r="B41" s="1006"/>
      <c r="C41" s="1009"/>
      <c r="D41" s="586">
        <v>2</v>
      </c>
      <c r="E41" s="728"/>
      <c r="F41" s="587"/>
      <c r="G41" s="587"/>
      <c r="H41" s="587"/>
      <c r="I41" s="587"/>
      <c r="J41" s="587"/>
      <c r="K41" s="587"/>
      <c r="L41" s="588"/>
      <c r="M41" s="610"/>
    </row>
    <row r="42" spans="2:13" ht="12.75" customHeight="1">
      <c r="B42" s="1006"/>
      <c r="C42" s="1009"/>
      <c r="D42" s="586">
        <v>3</v>
      </c>
      <c r="E42" s="728"/>
      <c r="F42" s="587"/>
      <c r="G42" s="587"/>
      <c r="H42" s="587"/>
      <c r="I42" s="587"/>
      <c r="J42" s="587"/>
      <c r="K42" s="587"/>
      <c r="L42" s="588"/>
      <c r="M42" s="610"/>
    </row>
    <row r="43" spans="2:13" ht="12.75" customHeight="1">
      <c r="B43" s="1006"/>
      <c r="C43" s="1009"/>
      <c r="D43" s="586">
        <v>4</v>
      </c>
      <c r="E43" s="728"/>
      <c r="F43" s="587"/>
      <c r="G43" s="587"/>
      <c r="H43" s="587"/>
      <c r="I43" s="587"/>
      <c r="J43" s="587"/>
      <c r="K43" s="587"/>
      <c r="L43" s="588"/>
      <c r="M43" s="610"/>
    </row>
    <row r="44" spans="2:13" ht="12.75" customHeight="1">
      <c r="B44" s="1006"/>
      <c r="C44" s="1009"/>
      <c r="D44" s="586">
        <v>5</v>
      </c>
      <c r="E44" s="728"/>
      <c r="F44" s="587"/>
      <c r="G44" s="587"/>
      <c r="H44" s="587"/>
      <c r="I44" s="587"/>
      <c r="J44" s="587"/>
      <c r="K44" s="587"/>
      <c r="L44" s="588"/>
      <c r="M44" s="610"/>
    </row>
    <row r="45" spans="2:13" ht="12.75" customHeight="1">
      <c r="B45" s="1006"/>
      <c r="C45" s="1009"/>
      <c r="D45" s="586">
        <v>6</v>
      </c>
      <c r="E45" s="728"/>
      <c r="F45" s="587"/>
      <c r="G45" s="587"/>
      <c r="H45" s="587"/>
      <c r="I45" s="587"/>
      <c r="J45" s="587"/>
      <c r="K45" s="587"/>
      <c r="L45" s="588"/>
      <c r="M45" s="610"/>
    </row>
    <row r="46" spans="2:13" ht="12.75" customHeight="1">
      <c r="B46" s="1006"/>
      <c r="C46" s="1009"/>
      <c r="D46" s="586">
        <v>7</v>
      </c>
      <c r="E46" s="728"/>
      <c r="F46" s="587"/>
      <c r="G46" s="587"/>
      <c r="H46" s="587"/>
      <c r="I46" s="587"/>
      <c r="J46" s="587"/>
      <c r="K46" s="587"/>
      <c r="L46" s="588"/>
      <c r="M46" s="610"/>
    </row>
    <row r="47" spans="2:13" ht="12.75" customHeight="1">
      <c r="B47" s="1006"/>
      <c r="C47" s="1009"/>
      <c r="D47" s="586">
        <v>8</v>
      </c>
      <c r="E47" s="728"/>
      <c r="F47" s="587"/>
      <c r="G47" s="587"/>
      <c r="H47" s="587"/>
      <c r="I47" s="587"/>
      <c r="J47" s="587"/>
      <c r="K47" s="587"/>
      <c r="L47" s="588"/>
      <c r="M47" s="610"/>
    </row>
    <row r="48" spans="2:13" ht="12.75" customHeight="1">
      <c r="B48" s="1006"/>
      <c r="C48" s="1009"/>
      <c r="D48" s="586">
        <v>9</v>
      </c>
      <c r="E48" s="728"/>
      <c r="F48" s="587"/>
      <c r="G48" s="587"/>
      <c r="H48" s="587"/>
      <c r="I48" s="587"/>
      <c r="J48" s="587"/>
      <c r="K48" s="587"/>
      <c r="L48" s="588"/>
      <c r="M48" s="610"/>
    </row>
    <row r="49" spans="2:13" ht="12.75" customHeight="1">
      <c r="B49" s="1006"/>
      <c r="C49" s="1009"/>
      <c r="D49" s="80">
        <v>10</v>
      </c>
      <c r="E49" s="729"/>
      <c r="F49" s="589"/>
      <c r="G49" s="589"/>
      <c r="H49" s="589"/>
      <c r="I49" s="589"/>
      <c r="J49" s="589"/>
      <c r="K49" s="589"/>
      <c r="L49" s="590"/>
      <c r="M49" s="610"/>
    </row>
    <row r="50" spans="2:13" ht="13.5" customHeight="1" thickBot="1">
      <c r="B50" s="1007"/>
      <c r="C50" s="1010"/>
      <c r="D50" s="591" t="str">
        <f>$D$14</f>
        <v>Total Load</v>
      </c>
      <c r="E50" s="730"/>
      <c r="F50" s="592"/>
      <c r="G50" s="592"/>
      <c r="H50" s="592"/>
      <c r="I50" s="592"/>
      <c r="J50" s="592"/>
      <c r="K50" s="592"/>
      <c r="L50" s="593"/>
      <c r="M50" s="610"/>
    </row>
    <row r="51" spans="2:13" ht="15" customHeight="1">
      <c r="B51" s="1005">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6"/>
      <c r="C52" s="1008"/>
      <c r="D52" s="586">
        <v>1</v>
      </c>
      <c r="E52" s="728"/>
      <c r="F52" s="587"/>
      <c r="G52" s="587"/>
      <c r="H52" s="587"/>
      <c r="I52" s="587"/>
      <c r="J52" s="587"/>
      <c r="K52" s="587"/>
      <c r="L52" s="588"/>
      <c r="M52" s="610"/>
    </row>
    <row r="53" spans="2:13" ht="12.75" customHeight="1">
      <c r="B53" s="1006"/>
      <c r="C53" s="1009"/>
      <c r="D53" s="586">
        <v>2</v>
      </c>
      <c r="E53" s="728"/>
      <c r="F53" s="587"/>
      <c r="G53" s="587"/>
      <c r="H53" s="587"/>
      <c r="I53" s="587"/>
      <c r="J53" s="587"/>
      <c r="K53" s="587"/>
      <c r="L53" s="588"/>
      <c r="M53" s="610"/>
    </row>
    <row r="54" spans="2:13" ht="12.75" customHeight="1">
      <c r="B54" s="1006"/>
      <c r="C54" s="1009"/>
      <c r="D54" s="586">
        <v>3</v>
      </c>
      <c r="E54" s="728"/>
      <c r="F54" s="587"/>
      <c r="G54" s="587"/>
      <c r="H54" s="587"/>
      <c r="I54" s="587"/>
      <c r="J54" s="587"/>
      <c r="K54" s="587"/>
      <c r="L54" s="588"/>
      <c r="M54" s="610"/>
    </row>
    <row r="55" spans="2:13" ht="12.75" customHeight="1">
      <c r="B55" s="1006"/>
      <c r="C55" s="1009"/>
      <c r="D55" s="586">
        <v>4</v>
      </c>
      <c r="E55" s="728"/>
      <c r="F55" s="587"/>
      <c r="G55" s="587"/>
      <c r="H55" s="587"/>
      <c r="I55" s="587"/>
      <c r="J55" s="587"/>
      <c r="K55" s="587"/>
      <c r="L55" s="588"/>
      <c r="M55" s="610"/>
    </row>
    <row r="56" spans="2:13" ht="12.75" customHeight="1">
      <c r="B56" s="1006"/>
      <c r="C56" s="1009"/>
      <c r="D56" s="586">
        <v>5</v>
      </c>
      <c r="E56" s="728"/>
      <c r="F56" s="587"/>
      <c r="G56" s="587"/>
      <c r="H56" s="587"/>
      <c r="I56" s="587"/>
      <c r="J56" s="587"/>
      <c r="K56" s="587"/>
      <c r="L56" s="588"/>
      <c r="M56" s="610"/>
    </row>
    <row r="57" spans="2:13" ht="12.75" customHeight="1">
      <c r="B57" s="1006"/>
      <c r="C57" s="1009"/>
      <c r="D57" s="586">
        <v>6</v>
      </c>
      <c r="E57" s="728"/>
      <c r="F57" s="587"/>
      <c r="G57" s="587"/>
      <c r="H57" s="587"/>
      <c r="I57" s="587"/>
      <c r="J57" s="587"/>
      <c r="K57" s="587"/>
      <c r="L57" s="588"/>
      <c r="M57" s="610"/>
    </row>
    <row r="58" spans="2:13" ht="12.75" customHeight="1">
      <c r="B58" s="1006"/>
      <c r="C58" s="1009"/>
      <c r="D58" s="586">
        <v>7</v>
      </c>
      <c r="E58" s="728"/>
      <c r="F58" s="587"/>
      <c r="G58" s="587"/>
      <c r="H58" s="587"/>
      <c r="I58" s="587"/>
      <c r="J58" s="587"/>
      <c r="K58" s="587"/>
      <c r="L58" s="588"/>
      <c r="M58" s="610"/>
    </row>
    <row r="59" spans="2:13" ht="12.75" customHeight="1">
      <c r="B59" s="1006"/>
      <c r="C59" s="1009"/>
      <c r="D59" s="586">
        <v>8</v>
      </c>
      <c r="E59" s="728"/>
      <c r="F59" s="587"/>
      <c r="G59" s="587"/>
      <c r="H59" s="587"/>
      <c r="I59" s="587"/>
      <c r="J59" s="587"/>
      <c r="K59" s="587"/>
      <c r="L59" s="588"/>
      <c r="M59" s="610"/>
    </row>
    <row r="60" spans="2:13" ht="12.75" customHeight="1">
      <c r="B60" s="1006"/>
      <c r="C60" s="1009"/>
      <c r="D60" s="586">
        <v>9</v>
      </c>
      <c r="E60" s="728"/>
      <c r="F60" s="587"/>
      <c r="G60" s="587"/>
      <c r="H60" s="587"/>
      <c r="I60" s="587"/>
      <c r="J60" s="587"/>
      <c r="K60" s="587"/>
      <c r="L60" s="588"/>
      <c r="M60" s="610"/>
    </row>
    <row r="61" spans="2:13" ht="12.75" customHeight="1">
      <c r="B61" s="1006"/>
      <c r="C61" s="1009"/>
      <c r="D61" s="80">
        <v>10</v>
      </c>
      <c r="E61" s="729"/>
      <c r="F61" s="589"/>
      <c r="G61" s="589"/>
      <c r="H61" s="589"/>
      <c r="I61" s="589"/>
      <c r="J61" s="589"/>
      <c r="K61" s="589"/>
      <c r="L61" s="590"/>
      <c r="M61" s="610"/>
    </row>
    <row r="62" spans="2:13" ht="13.5" customHeight="1" thickBot="1">
      <c r="B62" s="1007"/>
      <c r="C62" s="1010"/>
      <c r="D62" s="591" t="str">
        <f>$D$14</f>
        <v>Total Load</v>
      </c>
      <c r="E62" s="730"/>
      <c r="F62" s="592"/>
      <c r="G62" s="592"/>
      <c r="H62" s="592"/>
      <c r="I62" s="592"/>
      <c r="J62" s="592"/>
      <c r="K62" s="592"/>
      <c r="L62" s="593"/>
      <c r="M62" s="610"/>
    </row>
    <row r="63" spans="2:13" ht="15" customHeight="1">
      <c r="B63" s="1005">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6"/>
      <c r="C64" s="1008"/>
      <c r="D64" s="586">
        <v>1</v>
      </c>
      <c r="E64" s="728"/>
      <c r="F64" s="587"/>
      <c r="G64" s="587"/>
      <c r="H64" s="587"/>
      <c r="I64" s="587"/>
      <c r="J64" s="587"/>
      <c r="K64" s="587"/>
      <c r="L64" s="588"/>
      <c r="M64" s="610"/>
    </row>
    <row r="65" spans="2:13">
      <c r="B65" s="1006"/>
      <c r="C65" s="1009"/>
      <c r="D65" s="586">
        <v>2</v>
      </c>
      <c r="E65" s="728"/>
      <c r="F65" s="587"/>
      <c r="G65" s="587"/>
      <c r="H65" s="587"/>
      <c r="I65" s="587"/>
      <c r="J65" s="587"/>
      <c r="K65" s="587"/>
      <c r="L65" s="588"/>
      <c r="M65" s="610"/>
    </row>
    <row r="66" spans="2:13">
      <c r="B66" s="1006"/>
      <c r="C66" s="1009"/>
      <c r="D66" s="586">
        <v>3</v>
      </c>
      <c r="E66" s="728"/>
      <c r="F66" s="587"/>
      <c r="G66" s="587"/>
      <c r="H66" s="587"/>
      <c r="I66" s="587"/>
      <c r="J66" s="587"/>
      <c r="K66" s="587"/>
      <c r="L66" s="588"/>
      <c r="M66" s="610"/>
    </row>
    <row r="67" spans="2:13">
      <c r="B67" s="1006"/>
      <c r="C67" s="1009"/>
      <c r="D67" s="586">
        <v>4</v>
      </c>
      <c r="E67" s="728"/>
      <c r="F67" s="587"/>
      <c r="G67" s="587"/>
      <c r="H67" s="587"/>
      <c r="I67" s="587"/>
      <c r="J67" s="587"/>
      <c r="K67" s="587"/>
      <c r="L67" s="588"/>
      <c r="M67" s="610"/>
    </row>
    <row r="68" spans="2:13">
      <c r="B68" s="1006"/>
      <c r="C68" s="1009"/>
      <c r="D68" s="586">
        <v>5</v>
      </c>
      <c r="E68" s="728"/>
      <c r="F68" s="587"/>
      <c r="G68" s="587"/>
      <c r="H68" s="587"/>
      <c r="I68" s="587"/>
      <c r="J68" s="587"/>
      <c r="K68" s="587"/>
      <c r="L68" s="588"/>
      <c r="M68" s="610"/>
    </row>
    <row r="69" spans="2:13">
      <c r="B69" s="1006"/>
      <c r="C69" s="1009"/>
      <c r="D69" s="586">
        <v>6</v>
      </c>
      <c r="E69" s="728"/>
      <c r="F69" s="587"/>
      <c r="G69" s="587"/>
      <c r="H69" s="587"/>
      <c r="I69" s="587"/>
      <c r="J69" s="587"/>
      <c r="K69" s="587"/>
      <c r="L69" s="588"/>
      <c r="M69" s="610"/>
    </row>
    <row r="70" spans="2:13">
      <c r="B70" s="1006"/>
      <c r="C70" s="1009"/>
      <c r="D70" s="586">
        <v>7</v>
      </c>
      <c r="E70" s="728"/>
      <c r="F70" s="587"/>
      <c r="G70" s="587"/>
      <c r="H70" s="587"/>
      <c r="I70" s="587"/>
      <c r="J70" s="587"/>
      <c r="K70" s="587"/>
      <c r="L70" s="588"/>
      <c r="M70" s="610"/>
    </row>
    <row r="71" spans="2:13">
      <c r="B71" s="1006"/>
      <c r="C71" s="1009"/>
      <c r="D71" s="586">
        <v>8</v>
      </c>
      <c r="E71" s="728"/>
      <c r="F71" s="587"/>
      <c r="G71" s="587"/>
      <c r="H71" s="587"/>
      <c r="I71" s="587"/>
      <c r="J71" s="587"/>
      <c r="K71" s="587"/>
      <c r="L71" s="588"/>
      <c r="M71" s="610"/>
    </row>
    <row r="72" spans="2:13">
      <c r="B72" s="1006"/>
      <c r="C72" s="1009"/>
      <c r="D72" s="586">
        <v>9</v>
      </c>
      <c r="E72" s="728"/>
      <c r="F72" s="587"/>
      <c r="G72" s="587"/>
      <c r="H72" s="587"/>
      <c r="I72" s="587"/>
      <c r="J72" s="587"/>
      <c r="K72" s="587"/>
      <c r="L72" s="588"/>
      <c r="M72" s="610"/>
    </row>
    <row r="73" spans="2:13">
      <c r="B73" s="1006"/>
      <c r="C73" s="1009"/>
      <c r="D73" s="80">
        <v>10</v>
      </c>
      <c r="E73" s="729"/>
      <c r="F73" s="589"/>
      <c r="G73" s="589"/>
      <c r="H73" s="589"/>
      <c r="I73" s="589"/>
      <c r="J73" s="589"/>
      <c r="K73" s="589"/>
      <c r="L73" s="590"/>
      <c r="M73" s="610"/>
    </row>
    <row r="74" spans="2:13" ht="13.5" customHeight="1" thickBot="1">
      <c r="B74" s="1007"/>
      <c r="C74" s="1011"/>
      <c r="D74" s="591" t="str">
        <f>$D$14</f>
        <v>Total Load</v>
      </c>
      <c r="E74" s="730"/>
      <c r="F74" s="592"/>
      <c r="G74" s="592"/>
      <c r="H74" s="592"/>
      <c r="I74" s="592"/>
      <c r="J74" s="592"/>
      <c r="K74" s="592"/>
      <c r="L74" s="593"/>
      <c r="M74" s="610"/>
    </row>
    <row r="75" spans="2:13" ht="15" customHeight="1">
      <c r="B75" s="1005">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6"/>
      <c r="C76" s="1008"/>
      <c r="D76" s="586">
        <v>1</v>
      </c>
      <c r="E76" s="728"/>
      <c r="F76" s="587"/>
      <c r="G76" s="587"/>
      <c r="H76" s="587"/>
      <c r="I76" s="587"/>
      <c r="J76" s="587"/>
      <c r="K76" s="587"/>
      <c r="L76" s="588"/>
      <c r="M76" s="610"/>
    </row>
    <row r="77" spans="2:13">
      <c r="B77" s="1006"/>
      <c r="C77" s="1009"/>
      <c r="D77" s="586">
        <v>2</v>
      </c>
      <c r="E77" s="728"/>
      <c r="F77" s="587"/>
      <c r="G77" s="587"/>
      <c r="H77" s="587"/>
      <c r="I77" s="587"/>
      <c r="J77" s="587"/>
      <c r="K77" s="587"/>
      <c r="L77" s="588"/>
      <c r="M77" s="610"/>
    </row>
    <row r="78" spans="2:13">
      <c r="B78" s="1006"/>
      <c r="C78" s="1009"/>
      <c r="D78" s="586">
        <v>3</v>
      </c>
      <c r="E78" s="728"/>
      <c r="F78" s="587"/>
      <c r="G78" s="587"/>
      <c r="H78" s="587"/>
      <c r="I78" s="587"/>
      <c r="J78" s="587"/>
      <c r="K78" s="587"/>
      <c r="L78" s="588"/>
      <c r="M78" s="610"/>
    </row>
    <row r="79" spans="2:13">
      <c r="B79" s="1006"/>
      <c r="C79" s="1009"/>
      <c r="D79" s="586">
        <v>4</v>
      </c>
      <c r="E79" s="728"/>
      <c r="F79" s="587"/>
      <c r="G79" s="587"/>
      <c r="H79" s="587"/>
      <c r="I79" s="587"/>
      <c r="J79" s="587"/>
      <c r="K79" s="587"/>
      <c r="L79" s="588"/>
      <c r="M79" s="610"/>
    </row>
    <row r="80" spans="2:13">
      <c r="B80" s="1006"/>
      <c r="C80" s="1009"/>
      <c r="D80" s="586">
        <v>5</v>
      </c>
      <c r="E80" s="728"/>
      <c r="F80" s="587"/>
      <c r="G80" s="587"/>
      <c r="H80" s="587"/>
      <c r="I80" s="587"/>
      <c r="J80" s="587"/>
      <c r="K80" s="587"/>
      <c r="L80" s="588"/>
      <c r="M80" s="610"/>
    </row>
    <row r="81" spans="2:13">
      <c r="B81" s="1006"/>
      <c r="C81" s="1009"/>
      <c r="D81" s="586">
        <v>6</v>
      </c>
      <c r="E81" s="728"/>
      <c r="F81" s="587"/>
      <c r="G81" s="587"/>
      <c r="H81" s="587"/>
      <c r="I81" s="587"/>
      <c r="J81" s="587"/>
      <c r="K81" s="587"/>
      <c r="L81" s="588"/>
      <c r="M81" s="610"/>
    </row>
    <row r="82" spans="2:13">
      <c r="B82" s="1006"/>
      <c r="C82" s="1009"/>
      <c r="D82" s="586">
        <v>7</v>
      </c>
      <c r="E82" s="728"/>
      <c r="F82" s="587"/>
      <c r="G82" s="587"/>
      <c r="H82" s="587"/>
      <c r="I82" s="587"/>
      <c r="J82" s="587"/>
      <c r="K82" s="587"/>
      <c r="L82" s="588"/>
      <c r="M82" s="610"/>
    </row>
    <row r="83" spans="2:13">
      <c r="B83" s="1006"/>
      <c r="C83" s="1009"/>
      <c r="D83" s="586">
        <v>8</v>
      </c>
      <c r="E83" s="728"/>
      <c r="F83" s="587"/>
      <c r="G83" s="587"/>
      <c r="H83" s="587"/>
      <c r="I83" s="587"/>
      <c r="J83" s="587"/>
      <c r="K83" s="587"/>
      <c r="L83" s="588"/>
      <c r="M83" s="610"/>
    </row>
    <row r="84" spans="2:13">
      <c r="B84" s="1006"/>
      <c r="C84" s="1009"/>
      <c r="D84" s="586">
        <v>9</v>
      </c>
      <c r="E84" s="728"/>
      <c r="F84" s="587"/>
      <c r="G84" s="587"/>
      <c r="H84" s="587"/>
      <c r="I84" s="587"/>
      <c r="J84" s="587"/>
      <c r="K84" s="587"/>
      <c r="L84" s="588"/>
      <c r="M84" s="610"/>
    </row>
    <row r="85" spans="2:13">
      <c r="B85" s="1006"/>
      <c r="C85" s="1009"/>
      <c r="D85" s="80">
        <v>10</v>
      </c>
      <c r="E85" s="729"/>
      <c r="F85" s="589"/>
      <c r="G85" s="589"/>
      <c r="H85" s="589"/>
      <c r="I85" s="589"/>
      <c r="J85" s="589"/>
      <c r="K85" s="589"/>
      <c r="L85" s="590"/>
      <c r="M85" s="610"/>
    </row>
    <row r="86" spans="2:13" ht="13.5" customHeight="1" thickBot="1">
      <c r="B86" s="1007"/>
      <c r="C86" s="1011"/>
      <c r="D86" s="591" t="str">
        <f>$D$14</f>
        <v>Total Load</v>
      </c>
      <c r="E86" s="730"/>
      <c r="F86" s="592"/>
      <c r="G86" s="592"/>
      <c r="H86" s="592"/>
      <c r="I86" s="592"/>
      <c r="J86" s="592"/>
      <c r="K86" s="592"/>
      <c r="L86" s="593"/>
      <c r="M86" s="610"/>
    </row>
    <row r="87" spans="2:13" ht="15" customHeight="1">
      <c r="B87" s="1005">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6"/>
      <c r="C88" s="1008"/>
      <c r="D88" s="586">
        <v>1</v>
      </c>
      <c r="E88" s="728"/>
      <c r="F88" s="587"/>
      <c r="G88" s="587"/>
      <c r="H88" s="587"/>
      <c r="I88" s="587"/>
      <c r="J88" s="587"/>
      <c r="K88" s="587"/>
      <c r="L88" s="588"/>
      <c r="M88" s="610"/>
    </row>
    <row r="89" spans="2:13">
      <c r="B89" s="1006"/>
      <c r="C89" s="1009"/>
      <c r="D89" s="586">
        <v>2</v>
      </c>
      <c r="E89" s="728"/>
      <c r="F89" s="587"/>
      <c r="G89" s="587"/>
      <c r="H89" s="587"/>
      <c r="I89" s="587"/>
      <c r="J89" s="587"/>
      <c r="K89" s="587"/>
      <c r="L89" s="588"/>
      <c r="M89" s="610"/>
    </row>
    <row r="90" spans="2:13">
      <c r="B90" s="1006"/>
      <c r="C90" s="1009"/>
      <c r="D90" s="586">
        <v>3</v>
      </c>
      <c r="E90" s="728"/>
      <c r="F90" s="587"/>
      <c r="G90" s="587"/>
      <c r="H90" s="587"/>
      <c r="I90" s="587"/>
      <c r="J90" s="587"/>
      <c r="K90" s="587"/>
      <c r="L90" s="588"/>
      <c r="M90" s="610"/>
    </row>
    <row r="91" spans="2:13">
      <c r="B91" s="1006"/>
      <c r="C91" s="1009"/>
      <c r="D91" s="586">
        <v>4</v>
      </c>
      <c r="E91" s="728"/>
      <c r="F91" s="587"/>
      <c r="G91" s="587"/>
      <c r="H91" s="587"/>
      <c r="I91" s="587"/>
      <c r="J91" s="587"/>
      <c r="K91" s="587"/>
      <c r="L91" s="588"/>
      <c r="M91" s="610"/>
    </row>
    <row r="92" spans="2:13">
      <c r="B92" s="1006"/>
      <c r="C92" s="1009"/>
      <c r="D92" s="586">
        <v>5</v>
      </c>
      <c r="E92" s="728"/>
      <c r="F92" s="587"/>
      <c r="G92" s="587"/>
      <c r="H92" s="587"/>
      <c r="I92" s="587"/>
      <c r="J92" s="587"/>
      <c r="K92" s="587"/>
      <c r="L92" s="588"/>
      <c r="M92" s="610"/>
    </row>
    <row r="93" spans="2:13">
      <c r="B93" s="1006"/>
      <c r="C93" s="1009"/>
      <c r="D93" s="586">
        <v>6</v>
      </c>
      <c r="E93" s="728"/>
      <c r="F93" s="587"/>
      <c r="G93" s="587"/>
      <c r="H93" s="587"/>
      <c r="I93" s="587"/>
      <c r="J93" s="587"/>
      <c r="K93" s="587"/>
      <c r="L93" s="588"/>
      <c r="M93" s="610"/>
    </row>
    <row r="94" spans="2:13">
      <c r="B94" s="1006"/>
      <c r="C94" s="1009"/>
      <c r="D94" s="586">
        <v>7</v>
      </c>
      <c r="E94" s="728"/>
      <c r="F94" s="587"/>
      <c r="G94" s="587"/>
      <c r="H94" s="587"/>
      <c r="I94" s="587"/>
      <c r="J94" s="587"/>
      <c r="K94" s="587"/>
      <c r="L94" s="588"/>
      <c r="M94" s="610"/>
    </row>
    <row r="95" spans="2:13">
      <c r="B95" s="1006"/>
      <c r="C95" s="1009"/>
      <c r="D95" s="586">
        <v>8</v>
      </c>
      <c r="E95" s="728"/>
      <c r="F95" s="587"/>
      <c r="G95" s="587"/>
      <c r="H95" s="587"/>
      <c r="I95" s="587"/>
      <c r="J95" s="587"/>
      <c r="K95" s="587"/>
      <c r="L95" s="588"/>
      <c r="M95" s="610"/>
    </row>
    <row r="96" spans="2:13">
      <c r="B96" s="1006"/>
      <c r="C96" s="1009"/>
      <c r="D96" s="586">
        <v>9</v>
      </c>
      <c r="E96" s="728"/>
      <c r="F96" s="587"/>
      <c r="G96" s="587"/>
      <c r="H96" s="587"/>
      <c r="I96" s="587"/>
      <c r="J96" s="587"/>
      <c r="K96" s="587"/>
      <c r="L96" s="588"/>
      <c r="M96" s="610"/>
    </row>
    <row r="97" spans="2:13">
      <c r="B97" s="1006"/>
      <c r="C97" s="1009"/>
      <c r="D97" s="80">
        <v>10</v>
      </c>
      <c r="E97" s="729"/>
      <c r="F97" s="589"/>
      <c r="G97" s="589"/>
      <c r="H97" s="589"/>
      <c r="I97" s="589"/>
      <c r="J97" s="589"/>
      <c r="K97" s="589"/>
      <c r="L97" s="590"/>
      <c r="M97" s="610"/>
    </row>
    <row r="98" spans="2:13" ht="13.5" customHeight="1" thickBot="1">
      <c r="B98" s="1007"/>
      <c r="C98" s="1011"/>
      <c r="D98" s="591" t="str">
        <f>$D$14</f>
        <v>Total Load</v>
      </c>
      <c r="E98" s="730"/>
      <c r="F98" s="592"/>
      <c r="G98" s="592"/>
      <c r="H98" s="592"/>
      <c r="I98" s="592"/>
      <c r="J98" s="592"/>
      <c r="K98" s="592"/>
      <c r="L98" s="593"/>
      <c r="M98" s="610"/>
    </row>
    <row r="99" spans="2:13" ht="15" customHeight="1">
      <c r="B99" s="1005">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6"/>
      <c r="C100" s="1008"/>
      <c r="D100" s="586">
        <v>1</v>
      </c>
      <c r="E100" s="728"/>
      <c r="F100" s="587"/>
      <c r="G100" s="587"/>
      <c r="H100" s="587"/>
      <c r="I100" s="587"/>
      <c r="J100" s="587"/>
      <c r="K100" s="587"/>
      <c r="L100" s="588"/>
      <c r="M100" s="610"/>
    </row>
    <row r="101" spans="2:13">
      <c r="B101" s="1006"/>
      <c r="C101" s="1009"/>
      <c r="D101" s="586">
        <v>2</v>
      </c>
      <c r="E101" s="728"/>
      <c r="F101" s="587"/>
      <c r="G101" s="587"/>
      <c r="H101" s="587"/>
      <c r="I101" s="587"/>
      <c r="J101" s="587"/>
      <c r="K101" s="587"/>
      <c r="L101" s="588"/>
      <c r="M101" s="610"/>
    </row>
    <row r="102" spans="2:13">
      <c r="B102" s="1006"/>
      <c r="C102" s="1009"/>
      <c r="D102" s="586">
        <v>3</v>
      </c>
      <c r="E102" s="728"/>
      <c r="F102" s="587"/>
      <c r="G102" s="587"/>
      <c r="H102" s="587"/>
      <c r="I102" s="587"/>
      <c r="J102" s="587"/>
      <c r="K102" s="587"/>
      <c r="L102" s="588"/>
      <c r="M102" s="610"/>
    </row>
    <row r="103" spans="2:13">
      <c r="B103" s="1006"/>
      <c r="C103" s="1009"/>
      <c r="D103" s="586">
        <v>4</v>
      </c>
      <c r="E103" s="728"/>
      <c r="F103" s="587"/>
      <c r="G103" s="587"/>
      <c r="H103" s="587"/>
      <c r="I103" s="587"/>
      <c r="J103" s="587"/>
      <c r="K103" s="587"/>
      <c r="L103" s="588"/>
      <c r="M103" s="610"/>
    </row>
    <row r="104" spans="2:13">
      <c r="B104" s="1006"/>
      <c r="C104" s="1009"/>
      <c r="D104" s="586">
        <v>5</v>
      </c>
      <c r="E104" s="728"/>
      <c r="F104" s="587"/>
      <c r="G104" s="587"/>
      <c r="H104" s="587"/>
      <c r="I104" s="587"/>
      <c r="J104" s="587"/>
      <c r="K104" s="587"/>
      <c r="L104" s="588"/>
      <c r="M104" s="610"/>
    </row>
    <row r="105" spans="2:13">
      <c r="B105" s="1006"/>
      <c r="C105" s="1009"/>
      <c r="D105" s="586">
        <v>6</v>
      </c>
      <c r="E105" s="728"/>
      <c r="F105" s="587"/>
      <c r="G105" s="587"/>
      <c r="H105" s="587"/>
      <c r="I105" s="587"/>
      <c r="J105" s="587"/>
      <c r="K105" s="587"/>
      <c r="L105" s="588"/>
      <c r="M105" s="610"/>
    </row>
    <row r="106" spans="2:13">
      <c r="B106" s="1006"/>
      <c r="C106" s="1009"/>
      <c r="D106" s="586">
        <v>7</v>
      </c>
      <c r="E106" s="728"/>
      <c r="F106" s="587"/>
      <c r="G106" s="587"/>
      <c r="H106" s="587"/>
      <c r="I106" s="587"/>
      <c r="J106" s="587"/>
      <c r="K106" s="587"/>
      <c r="L106" s="588"/>
      <c r="M106" s="610"/>
    </row>
    <row r="107" spans="2:13">
      <c r="B107" s="1006"/>
      <c r="C107" s="1009"/>
      <c r="D107" s="586">
        <v>8</v>
      </c>
      <c r="E107" s="728"/>
      <c r="F107" s="587"/>
      <c r="G107" s="587"/>
      <c r="H107" s="587"/>
      <c r="I107" s="587"/>
      <c r="J107" s="587"/>
      <c r="K107" s="587"/>
      <c r="L107" s="588"/>
      <c r="M107" s="610"/>
    </row>
    <row r="108" spans="2:13">
      <c r="B108" s="1006"/>
      <c r="C108" s="1009"/>
      <c r="D108" s="586">
        <v>9</v>
      </c>
      <c r="E108" s="728"/>
      <c r="F108" s="587"/>
      <c r="G108" s="587"/>
      <c r="H108" s="587"/>
      <c r="I108" s="587"/>
      <c r="J108" s="587"/>
      <c r="K108" s="587"/>
      <c r="L108" s="588"/>
      <c r="M108" s="610"/>
    </row>
    <row r="109" spans="2:13">
      <c r="B109" s="1006"/>
      <c r="C109" s="1009"/>
      <c r="D109" s="80">
        <v>10</v>
      </c>
      <c r="E109" s="729"/>
      <c r="F109" s="589"/>
      <c r="G109" s="589"/>
      <c r="H109" s="589"/>
      <c r="I109" s="589"/>
      <c r="J109" s="589"/>
      <c r="K109" s="589"/>
      <c r="L109" s="590"/>
      <c r="M109" s="610"/>
    </row>
    <row r="110" spans="2:13" ht="13.5" customHeight="1" thickBot="1">
      <c r="B110" s="1007"/>
      <c r="C110" s="1011"/>
      <c r="D110" s="591" t="str">
        <f>$D$14</f>
        <v>Total Load</v>
      </c>
      <c r="E110" s="730"/>
      <c r="F110" s="592"/>
      <c r="G110" s="592"/>
      <c r="H110" s="592"/>
      <c r="I110" s="592"/>
      <c r="J110" s="592"/>
      <c r="K110" s="592"/>
      <c r="L110" s="593"/>
      <c r="M110" s="610"/>
    </row>
    <row r="111" spans="2:13" ht="15" customHeight="1">
      <c r="B111" s="1005">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6"/>
      <c r="C112" s="1008" t="s">
        <v>2580</v>
      </c>
      <c r="D112" s="586">
        <v>1</v>
      </c>
      <c r="E112" s="728" t="s">
        <v>2582</v>
      </c>
      <c r="F112" s="587">
        <v>2</v>
      </c>
      <c r="G112" s="587">
        <v>0</v>
      </c>
      <c r="H112" s="587">
        <v>0</v>
      </c>
      <c r="I112" s="587">
        <v>0.01</v>
      </c>
      <c r="J112" s="587">
        <v>0.16</v>
      </c>
      <c r="K112" s="587">
        <v>0.16</v>
      </c>
      <c r="L112" s="588">
        <v>0.02</v>
      </c>
      <c r="M112" s="610">
        <v>1</v>
      </c>
    </row>
    <row r="113" spans="2:13">
      <c r="B113" s="1006"/>
      <c r="C113" s="1009"/>
      <c r="D113" s="586">
        <v>2</v>
      </c>
      <c r="E113" s="728" t="s">
        <v>2575</v>
      </c>
      <c r="F113" s="587">
        <v>12</v>
      </c>
      <c r="G113" s="587">
        <v>0</v>
      </c>
      <c r="H113" s="587">
        <v>0.02</v>
      </c>
      <c r="I113" s="587">
        <v>7.0000000000000007E-2</v>
      </c>
      <c r="J113" s="587">
        <v>0.16</v>
      </c>
      <c r="K113" s="587">
        <v>0.36</v>
      </c>
      <c r="L113" s="588">
        <v>0.1</v>
      </c>
      <c r="M113" s="610">
        <v>1</v>
      </c>
    </row>
    <row r="114" spans="2:13">
      <c r="B114" s="1006"/>
      <c r="C114" s="1009"/>
      <c r="D114" s="586">
        <v>3</v>
      </c>
      <c r="E114" s="728" t="s">
        <v>2576</v>
      </c>
      <c r="F114" s="587">
        <v>2</v>
      </c>
      <c r="G114" s="587">
        <v>0</v>
      </c>
      <c r="H114" s="587">
        <v>-0.25</v>
      </c>
      <c r="I114" s="587">
        <v>7.0000000000000007E-2</v>
      </c>
      <c r="J114" s="587">
        <v>0.09</v>
      </c>
      <c r="K114" s="587">
        <v>0.18</v>
      </c>
      <c r="L114" s="588">
        <v>0.09</v>
      </c>
      <c r="M114" s="610">
        <v>3</v>
      </c>
    </row>
    <row r="115" spans="2:13">
      <c r="B115" s="1006"/>
      <c r="C115" s="1009"/>
      <c r="D115" s="586">
        <v>4</v>
      </c>
      <c r="E115" s="728" t="s">
        <v>2583</v>
      </c>
      <c r="F115" s="587">
        <v>0.6</v>
      </c>
      <c r="G115" s="587">
        <v>0</v>
      </c>
      <c r="H115" s="587">
        <v>0.105</v>
      </c>
      <c r="I115" s="587">
        <v>0.13500000000000001</v>
      </c>
      <c r="J115" s="587">
        <v>0.02</v>
      </c>
      <c r="K115" s="587">
        <v>0.05</v>
      </c>
      <c r="L115" s="588">
        <v>0.08</v>
      </c>
      <c r="M115" s="610">
        <v>5</v>
      </c>
    </row>
    <row r="116" spans="2:13">
      <c r="B116" s="1006"/>
      <c r="C116" s="1009"/>
      <c r="D116" s="586">
        <v>5</v>
      </c>
      <c r="E116" s="728" t="s">
        <v>2584</v>
      </c>
      <c r="F116" s="587">
        <v>0.6</v>
      </c>
      <c r="G116" s="587">
        <v>0</v>
      </c>
      <c r="H116" s="587">
        <v>-0.105</v>
      </c>
      <c r="I116" s="587">
        <v>0.13500000000000001</v>
      </c>
      <c r="J116" s="587">
        <v>0.02</v>
      </c>
      <c r="K116" s="587">
        <v>0.05</v>
      </c>
      <c r="L116" s="588">
        <v>0.08</v>
      </c>
      <c r="M116" s="610">
        <v>5</v>
      </c>
    </row>
    <row r="117" spans="2:13">
      <c r="B117" s="1006"/>
      <c r="C117" s="1009"/>
      <c r="D117" s="586">
        <v>6</v>
      </c>
      <c r="E117" s="728" t="s">
        <v>2586</v>
      </c>
      <c r="F117" s="587">
        <v>5.5</v>
      </c>
      <c r="G117" s="587">
        <v>0</v>
      </c>
      <c r="H117" s="587">
        <v>0.14000000000000001</v>
      </c>
      <c r="I117" s="587">
        <v>0.245</v>
      </c>
      <c r="J117" s="587">
        <v>0.1</v>
      </c>
      <c r="K117" s="587">
        <v>0.02</v>
      </c>
      <c r="L117" s="588">
        <v>0.3</v>
      </c>
      <c r="M117" s="610">
        <v>5</v>
      </c>
    </row>
    <row r="118" spans="2:13">
      <c r="B118" s="1006"/>
      <c r="C118" s="1009"/>
      <c r="D118" s="586">
        <v>7</v>
      </c>
      <c r="E118" s="728" t="s">
        <v>2587</v>
      </c>
      <c r="F118" s="587">
        <v>5.5</v>
      </c>
      <c r="G118" s="587">
        <v>0</v>
      </c>
      <c r="H118" s="587">
        <v>-0.14000000000000001</v>
      </c>
      <c r="I118" s="587">
        <v>0.245</v>
      </c>
      <c r="J118" s="587">
        <v>0.1</v>
      </c>
      <c r="K118" s="587">
        <v>0.02</v>
      </c>
      <c r="L118" s="588">
        <v>0.3</v>
      </c>
      <c r="M118" s="610">
        <v>5</v>
      </c>
    </row>
    <row r="119" spans="2:13">
      <c r="B119" s="1006"/>
      <c r="C119" s="1009"/>
      <c r="D119" s="586">
        <v>8</v>
      </c>
      <c r="E119" s="728" t="s">
        <v>2577</v>
      </c>
      <c r="F119" s="587">
        <v>3.1</v>
      </c>
      <c r="G119" s="587">
        <v>0</v>
      </c>
      <c r="H119" s="587">
        <v>0.12</v>
      </c>
      <c r="I119" s="587">
        <v>0.35</v>
      </c>
      <c r="J119" s="587">
        <v>0.25</v>
      </c>
      <c r="K119" s="587">
        <v>0.02</v>
      </c>
      <c r="L119" s="588">
        <v>0.08</v>
      </c>
      <c r="M119" s="610">
        <v>5</v>
      </c>
    </row>
    <row r="120" spans="2:13">
      <c r="B120" s="1006"/>
      <c r="C120" s="1009"/>
      <c r="D120" s="586">
        <v>9</v>
      </c>
      <c r="E120" s="728" t="s">
        <v>2578</v>
      </c>
      <c r="F120" s="587">
        <v>3.1</v>
      </c>
      <c r="G120" s="587">
        <v>0</v>
      </c>
      <c r="H120" s="587">
        <v>-0.12</v>
      </c>
      <c r="I120" s="587">
        <v>0.35</v>
      </c>
      <c r="J120" s="587">
        <v>0.25</v>
      </c>
      <c r="K120" s="587">
        <v>0.02</v>
      </c>
      <c r="L120" s="588">
        <v>0.08</v>
      </c>
      <c r="M120" s="610">
        <v>5</v>
      </c>
    </row>
    <row r="121" spans="2:13">
      <c r="B121" s="1006"/>
      <c r="C121" s="1009"/>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7"/>
      <c r="C122" s="1011"/>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2016-12-07T00:27:05Z</cp:lastPrinted>
  <dcterms:created xsi:type="dcterms:W3CDTF">1999-12-01T08:04:04Z</dcterms:created>
  <dcterms:modified xsi:type="dcterms:W3CDTF">2016-12-07T00:27:13Z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