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l="1"/>
  <c r="X66" i="37" s="1"/>
  <c r="U66" i="37"/>
  <c r="T66" i="37"/>
  <c r="Y66" i="37" s="1"/>
  <c r="V66" i="37"/>
  <c r="W66" i="37"/>
  <c r="Z66" i="37" l="1"/>
  <c r="AA66" i="37"/>
  <c r="AB66" i="37" s="1"/>
  <c r="O67" i="37" s="1"/>
  <c r="Q67" i="37" s="1"/>
  <c r="P67" i="37" l="1"/>
  <c r="T67" i="37" s="1"/>
  <c r="Y67" i="37" s="1"/>
  <c r="V67" i="37" l="1"/>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c r="X69" i="37" s="1"/>
  <c r="V69" i="37" l="1"/>
  <c r="T69" i="37"/>
  <c r="Y69" i="37" s="1"/>
  <c r="U69" i="37"/>
  <c r="W69" i="37"/>
  <c r="AA69" i="37" l="1"/>
  <c r="Z69" i="37"/>
  <c r="AB69" i="37"/>
  <c r="O70" i="37" s="1"/>
  <c r="P70" i="37" s="1"/>
  <c r="N63" i="37" l="1"/>
  <c r="B89" i="37" s="1"/>
  <c r="E89" i="37" s="1"/>
  <c r="Q70" i="37"/>
  <c r="V70" i="37" s="1"/>
  <c r="F89" i="37"/>
  <c r="D89" i="37"/>
  <c r="L89" i="37" s="1"/>
  <c r="K36" i="37"/>
  <c r="C89" i="37" l="1"/>
  <c r="H89" i="37" s="1"/>
  <c r="S70" i="37"/>
  <c r="X70" i="37" s="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<sst xmlns="http://schemas.openxmlformats.org/spreadsheetml/2006/main" count="6673" uniqueCount="4044">
  <si>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</si>
  <si>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</si>
  <si>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</si>
  <si>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</si>
  <si>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</si>
  <si>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</si>
  <si>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</si>
  <si>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</si>
  <si>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</si>
  <si>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</si>
  <si>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</si>
  <si>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</si>
  <si>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</si>
  <si>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</si>
  <si>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</si>
  <si>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</si>
  <si>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</si>
  <si>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</si>
  <si>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</si>
  <si>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</si>
  <si>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</si>
  <si>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</si>
  <si>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</si>
  <si>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</si>
  <si>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</si>
  <si>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</si>
  <si>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</si>
  <si>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</si>
  <si>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</si>
  <si>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</si>
  <si>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</si>
  <si>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</si>
  <si>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</si>
  <si>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</si>
  <si>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</si>
  <si>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</si>
  <si>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</si>
  <si>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</si>
  <si>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</si>
  <si>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</si>
  <si>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</si>
  <si>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</si>
  <si>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</si>
  <si>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</si>
  <si>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</si>
  <si>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</si>
  <si>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</si>
  <si>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</si>
  <si>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</si>
  <si>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</si>
  <si>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</si>
  <si>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</si>
  <si>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</si>
  <si>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</si>
  <si>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</si>
  <si>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</si>
  <si>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</si>
  <si>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</si>
  <si>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</si>
  <si>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</si>
  <si>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</si>
  <si>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</si>
  <si>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</si>
  <si>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</si>
  <si>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</si>
  <si>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</si>
  <si>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</si>
  <si>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</si>
  <si>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</si>
  <si>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</si>
  <si>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</si>
  <si>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</si>
  <si>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</si>
  <si>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</si>
  <si>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</si>
  <si>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</si>
  <si>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</si>
  <si>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</si>
  <si>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</si>
  <si>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</si>
  <si>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</si>
  <si>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</si>
  <si>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</si>
  <si>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</si>
  <si>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</si>
  <si>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</si>
  <si>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</si>
  <si>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</si>
  <si>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</si>
  <si>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</si>
  <si>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</si>
  <si>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</si>
  <si>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</si>
  <si>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</si>
  <si>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</si>
  <si>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</si>
  <si>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</si>
  <si>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</si>
  <si>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</si>
  <si>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</si>
  <si>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</si>
  <si>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</si>
  <si>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</si>
  <si>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</si>
  <si>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</si>
  <si>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</si>
  <si>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</si>
  <si>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</si>
  <si>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</si>
  <si>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</si>
  <si>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</si>
  <si>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</si>
  <si>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</si>
  <si>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</si>
  <si>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</si>
  <si>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</si>
  <si>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</si>
  <si>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</si>
  <si>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</si>
  <si>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</si>
  <si>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</si>
  <si>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</si>
  <si>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</si>
  <si>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</si>
  <si>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</si>
  <si>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</si>
  <si>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</si>
  <si>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</si>
  <si>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</si>
  <si>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</si>
  <si>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</si>
  <si>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</si>
  <si>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</si>
  <si>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</si>
  <si>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</si>
  <si>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</si>
  <si>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</si>
  <si>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</si>
  <si>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</si>
  <si>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</si>
  <si>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</si>
  <si>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</si>
  <si>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</si>
  <si>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</si>
  <si>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</si>
  <si>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</si>
  <si>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</si>
  <si>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</si>
  <si>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</si>
  <si>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</si>
  <si>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</si>
  <si>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</si>
  <si>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</si>
  <si>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</si>
  <si>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</si>
  <si>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</si>
  <si>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</si>
  <si>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</si>
  <si>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</si>
  <si>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</si>
  <si>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</si>
  <si>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</si>
  <si>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</si>
  <si>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</si>
  <si>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</si>
  <si>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</si>
  <si>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</si>
  <si>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</si>
  <si>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</si>
  <si>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</si>
  <si>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</si>
  <si>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</si>
  <si>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</si>
  <si>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</si>
  <si>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</si>
  <si>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</si>
  <si>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</si>
  <si>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</si>
  <si>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</si>
  <si>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</si>
  <si>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</si>
  <si>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</si>
  <si>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</si>
  <si>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</si>
  <si>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</si>
  <si>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</si>
  <si>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</si>
  <si>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</si>
  <si>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</si>
  <si>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</si>
  <si>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</si>
  <si>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</si>
  <si>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</si>
  <si>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</si>
  <si>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</si>
  <si>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</si>
  <si>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</si>
  <si>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</si>
  <si>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</si>
  <si>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</si>
  <si>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</si>
  <si>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</si>
  <si>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</si>
  <si>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</si>
  <si>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</si>
  <si>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</si>
  <si>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</si>
  <si>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</si>
  <si>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</si>
  <si>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</si>
  <si>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</si>
  <si>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</si>
  <si>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</si>
  <si>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</si>
  <si>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</si>
  <si>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</si>
  <si>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</si>
  <si>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</si>
  <si>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</si>
  <si>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</si>
  <si>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</si>
  <si>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</si>
  <si>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</si>
  <si>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</si>
  <si>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</si>
  <si>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</si>
  <si>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</si>
  <si>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</si>
  <si>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</si>
  <si>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</si>
  <si>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</si>
  <si>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</si>
  <si>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</si>
  <si>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</si>
  <si>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</si>
  <si>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</si>
  <si>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</si>
  <si>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</si>
  <si>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</si>
  <si>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</si>
  <si>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</si>
  <si>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</si>
  <si>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</si>
  <si>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</si>
  <si>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</si>
  <si>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</si>
  <si>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</si>
  <si>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</si>
  <si>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</si>
  <si>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</si>
  <si>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</si>
  <si>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</si>
  <si>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</si>
  <si>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</si>
  <si>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</si>
  <si>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</si>
  <si>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</si>
  <si>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</si>
  <si>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</si>
  <si>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</si>
  <si>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</si>
  <si>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</si>
  <si>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</si>
  <si>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</si>
  <si>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</si>
  <si>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</si>
  <si>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</si>
  <si>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</si>
  <si>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</si>
  <si>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</si>
  <si>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</si>
  <si>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</si>
  <si>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</si>
  <si>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</si>
  <si>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</si>
  <si>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</si>
  <si>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</si>
  <si>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</si>
  <si>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</si>
  <si>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</si>
  <si>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</si>
  <si>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</si>
  <si>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</si>
  <si>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</si>
  <si>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</si>
  <si>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</si>
  <si>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</si>
  <si>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</si>
  <si>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</si>
  <si>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</si>
  <si>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</si>
  <si>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</si>
  <si>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</si>
  <si>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</si>
  <si>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</si>
  <si>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</si>
  <si>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</si>
  <si>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</si>
  <si>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</si>
  <si>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</si>
  <si>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</si>
  <si>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</si>
  <si>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</si>
  <si>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</si>
  <si>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</si>
  <si>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</si>
  <si>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</si>
  <si>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</si>
  <si>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</si>
  <si>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</si>
  <si>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</si>
  <si>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</si>
  <si>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</si>
  <si>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</si>
  <si>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</si>
  <si>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</si>
  <si>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</si>
  <si>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</si>
  <si>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</si>
  <si>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</si>
  <si>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</si>
  <si>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</si>
  <si>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</si>
  <si>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</si>
  <si>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</si>
  <si>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</si>
  <si>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</si>
  <si>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</si>
  <si>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</si>
  <si>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</si>
  <si>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</si>
  <si>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</si>
  <si>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</si>
  <si>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</si>
  <si>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</si>
  <si>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</si>
  <si>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</si>
  <si>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</si>
  <si>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</si>
  <si>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</si>
  <si>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</si>
  <si>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</si>
  <si>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</si>
  <si>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</si>
  <si>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</si>
  <si>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</si>
  <si>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</si>
  <si>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</si>
  <si>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</si>
  <si>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</si>
  <si>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</si>
  <si>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</si>
  <si>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</si>
  <si>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</si>
  <si>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</si>
  <si>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</si>
  <si>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</si>
  <si>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</si>
  <si>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</si>
  <si>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</si>
  <si>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</si>
  <si>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</si>
  <si>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</si>
  <si>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</si>
  <si>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</si>
  <si>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</si>
  <si>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</si>
  <si>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</si>
  <si>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</si>
  <si>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</si>
  <si>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</si>
  <si>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</si>
  <si>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</si>
  <si>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</si>
  <si>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</si>
  <si>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</si>
  <si>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</si>
  <si>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</si>
  <si>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</si>
  <si>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</si>
  <si>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</si>
  <si>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</si>
  <si>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</si>
  <si>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</si>
  <si>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</si>
  <si>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</si>
  <si>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</si>
  <si>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</si>
  <si>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</si>
  <si>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</si>
  <si>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</si>
  <si>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</si>
  <si>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</si>
  <si>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</si>
  <si>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</si>
  <si>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</si>
  <si>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</si>
  <si>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</si>
  <si>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</si>
  <si>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</si>
  <si>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</si>
  <si>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</si>
  <si>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</si>
  <si>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</si>
  <si>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</si>
  <si>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</si>
  <si>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</si>
  <si>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</si>
  <si>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</si>
  <si>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</si>
  <si>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</si>
  <si>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</si>
  <si>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</si>
  <si>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</si>
  <si>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</si>
  <si>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</si>
  <si>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</si>
  <si>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</si>
  <si>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</si>
  <si>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</si>
  <si>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</si>
  <si>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</si>
  <si>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</si>
  <si>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</si>
  <si>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</si>
  <si>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</si>
  <si>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</si>
  <si>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</si>
  <si>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</si>
  <si>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</si>
  <si>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</si>
  <si>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</si>
  <si>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</si>
  <si>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</si>
  <si>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</si>
  <si>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</si>
  <si>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</si>
  <si>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</si>
  <si>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</si>
  <si>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</si>
  <si>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</si>
  <si>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</si>
  <si>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</si>
  <si>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</si>
  <si>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</si>
  <si>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</si>
  <si>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</si>
  <si>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</si>
  <si>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</si>
  <si>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</si>
  <si>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</si>
  <si>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</si>
  <si>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</si>
  <si>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</si>
  <si>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</si>
  <si>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</si>
  <si>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</si>
  <si>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</si>
  <si>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</si>
  <si>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</si>
  <si>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</si>
  <si>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</si>
  <si>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</si>
  <si>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</si>
  <si>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</si>
  <si>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</si>
  <si>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</si>
  <si>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</si>
  <si>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</si>
  <si>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</si>
  <si>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</si>
  <si>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</si>
  <si>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</si>
  <si>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</si>
  <si>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</si>
  <si>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</si>
  <si>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</si>
  <si>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</si>
  <si>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</si>
  <si>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</si>
  <si>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</si>
  <si>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</si>
  <si>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</si>
  <si>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</si>
  <si>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</si>
  <si>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</si>
  <si>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</si>
  <si>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</si>
  <si>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</si>
  <si>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</si>
  <si>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</si>
  <si>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</si>
  <si>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</si>
  <si>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</si>
  <si>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</si>
  <si>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</si>
  <si>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</si>
  <si>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</si>
  <si>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</si>
  <si>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</si>
  <si>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</si>
  <si>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</si>
  <si>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</si>
  <si>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</si>
  <si>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</si>
  <si>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</si>
  <si>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</si>
  <si>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</si>
  <si>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</si>
  <si>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</si>
  <si>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</si>
  <si>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</si>
  <si>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</si>
  <si>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</si>
  <si>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</si>
  <si>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</si>
  <si>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</si>
  <si>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</si>
  <si>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</si>
  <si>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</si>
  <si>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</si>
  <si>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</si>
  <si>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</si>
  <si>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</si>
  <si>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</si>
  <si>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</si>
  <si>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</si>
  <si>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</si>
  <si>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</si>
  <si>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</si>
  <si>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</si>
  <si>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</si>
  <si>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</si>
  <si>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</si>
  <si>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</si>
  <si>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</si>
  <si>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</si>
  <si>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</si>
  <si>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</si>
  <si>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</si>
  <si>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</si>
  <si>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</si>
  <si>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</si>
  <si>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</si>
  <si>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</si>
  <si>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</si>
  <si>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</si>
  <si>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</si>
  <si>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</si>
  <si>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</si>
  <si>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</si>
  <si>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</si>
  <si>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</si>
  <si>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</si>
  <si>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</si>
  <si>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</si>
  <si>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</si>
  <si>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</si>
  <si>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</si>
  <si>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</si>
  <si>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</si>
  <si>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</si>
  <si>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</si>
  <si>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</si>
  <si>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</si>
  <si>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</si>
  <si>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</si>
  <si>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</si>
  <si>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</si>
  <si>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</si>
  <si>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</si>
  <si>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</si>
  <si>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</si>
  <si>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</si>
  <si>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</si>
  <si>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</si>
  <si>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</si>
  <si>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</si>
  <si>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</si>
  <si>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</si>
  <si>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</si>
  <si>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</si>
  <si>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</si>
  <si>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</si>
  <si>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</si>
  <si>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</si>
  <si>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</si>
  <si>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</si>
  <si>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</si>
  <si>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</si>
  <si>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</si>
  <si>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</si>
  <si>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</si>
  <si>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</si>
  <si>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</si>
  <si>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</si>
  <si>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</si>
  <si>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</si>
  <si>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</si>
  <si>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</si>
  <si>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</si>
  <si>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</si>
  <si>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</si>
  <si>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</si>
  <si>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</si>
  <si>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</si>
  <si>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</si>
  <si>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</si>
  <si>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</si>
  <si>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</si>
  <si>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</si>
  <si>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</si>
  <si>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</si>
  <si>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</si>
  <si>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</si>
  <si>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</si>
  <si>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</si>
  <si>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</si>
  <si>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</si>
  <si>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</si>
  <si>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</si>
  <si>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</si>
  <si>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</si>
  <si>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</si>
  <si>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</si>
  <si>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</si>
  <si>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</si>
  <si>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</si>
  <si>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</si>
  <si>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</si>
  <si>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</si>
  <si>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</si>
  <si>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</si>
  <si>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</si>
  <si>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</si>
  <si>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</si>
  <si>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</si>
  <si>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</si>
  <si>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</si>
  <si>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</si>
  <si>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</si>
  <si>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</si>
  <si>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</si>
  <si>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</si>
  <si>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</si>
  <si>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</si>
  <si>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</si>
  <si>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</si>
  <si>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</si>
  <si>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</si>
  <si>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</si>
  <si>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</si>
  <si>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</si>
  <si>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</si>
  <si>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</si>
  <si>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</si>
  <si>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</si>
  <si>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</si>
  <si>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</si>
  <si>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</si>
  <si>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</si>
  <si>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</si>
  <si>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</si>
  <si>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</si>
  <si>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</si>
  <si>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</si>
  <si>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</si>
  <si>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</si>
  <si>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</si>
  <si>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</si>
  <si>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</si>
  <si>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</si>
  <si>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</si>
  <si>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</si>
  <si>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</si>
  <si>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</si>
  <si>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</si>
  <si>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</si>
  <si>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</si>
  <si>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</si>
  <si>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</si>
  <si>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</si>
  <si>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</si>
  <si>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</si>
  <si>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</si>
  <si>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</si>
  <si>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</si>
  <si>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</si>
  <si>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</si>
  <si>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</si>
  <si>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</si>
  <si>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</si>
  <si>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</si>
  <si>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</si>
  <si>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</si>
  <si>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</si>
  <si>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</si>
  <si>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</si>
  <si>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</si>
  <si>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</si>
  <si>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</si>
  <si>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</si>
  <si>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</si>
  <si>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</si>
  <si>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</si>
  <si>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</si>
  <si>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</si>
  <si>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</si>
  <si>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</si>
  <si>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</si>
  <si>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</si>
  <si>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</si>
  <si>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</si>
  <si>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</si>
  <si>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</si>
  <si>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</si>
  <si>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</si>
  <si>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</si>
  <si>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</si>
  <si>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</si>
  <si>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</si>
  <si>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</si>
  <si>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</si>
  <si>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</si>
  <si>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</si>
  <si>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</si>
  <si>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</si>
  <si>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</si>
  <si>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</si>
  <si>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</si>
  <si>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</si>
  <si>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</si>
  <si>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</si>
  <si>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</si>
  <si>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</si>
  <si>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</si>
  <si>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</si>
  <si>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</si>
  <si>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</si>
  <si>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</si>
  <si>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</si>
  <si>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</si>
  <si>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</si>
  <si>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</si>
  <si>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</si>
  <si>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</si>
  <si>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</si>
  <si>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</si>
  <si>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</si>
  <si>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</si>
  <si>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</si>
  <si>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</si>
  <si>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</si>
  <si>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</si>
  <si>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</si>
  <si>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</si>
  <si>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</si>
  <si>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</si>
  <si>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</si>
  <si>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</si>
  <si>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</si>
  <si>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</si>
  <si>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</si>
  <si>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</si>
  <si>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</si>
  <si>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</si>
  <si>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</si>
  <si>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</si>
  <si>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</si>
  <si>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</si>
  <si>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</si>
  <si>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</si>
  <si>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</si>
  <si>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</si>
  <si>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</si>
  <si>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</si>
  <si>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</si>
  <si>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</si>
  <si>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</si>
  <si>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</si>
  <si>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</si>
  <si>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</si>
  <si>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</si>
  <si>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</si>
  <si>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</si>
  <si>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</si>
  <si>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</si>
  <si>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</si>
  <si>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</si>
  <si>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</si>
  <si>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</si>
  <si>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</si>
  <si>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</si>
  <si>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</si>
  <si>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</si>
  <si>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</si>
  <si>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</si>
  <si>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</si>
  <si>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</si>
  <si>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</si>
  <si>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</si>
  <si>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</si>
  <si>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</si>
  <si>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</si>
  <si>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</si>
  <si>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</si>
  <si>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</si>
  <si>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</si>
  <si>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</si>
  <si>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</si>
  <si>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</si>
  <si>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</si>
  <si>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</si>
  <si>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</si>
  <si>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</si>
  <si>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</si>
  <si>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</si>
  <si>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</si>
  <si>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</si>
  <si>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</si>
  <si>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</si>
  <si>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</si>
  <si>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</si>
  <si>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</si>
  <si>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</si>
  <si>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</si>
  <si>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</si>
  <si>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</si>
  <si>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</si>
  <si>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</si>
  <si>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</si>
  <si>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</si>
  <si>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</si>
  <si>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</si>
  <si>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</si>
  <si>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</si>
  <si>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</si>
  <si>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</si>
  <si>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</si>
  <si>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</si>
  <si>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</si>
  <si>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</si>
  <si>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</si>
  <si>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</si>
  <si>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</si>
  <si>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</si>
  <si>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</si>
  <si>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</si>
  <si>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</si>
  <si>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</si>
  <si>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</si>
  <si>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</si>
  <si>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</si>
  <si>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</si>
  <si>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</si>
  <si>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</si>
  <si>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</si>
  <si>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</si>
  <si>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</si>
  <si>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</si>
  <si>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</si>
  <si>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</si>
  <si>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</si>
  <si>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</si>
  <si>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</si>
  <si>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</si>
  <si>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</si>
  <si>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</si>
  <si>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</si>
  <si>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</si>
  <si>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</si>
  <si>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</si>
  <si>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</si>
  <si>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</si>
  <si>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</si>
  <si>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</si>
  <si>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</si>
  <si>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</si>
  <si>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</si>
  <si>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</si>
  <si>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</si>
  <si>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</si>
  <si>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</si>
  <si>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</si>
  <si>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</si>
  <si>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</si>
  <si>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</si>
  <si>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</si>
  <si>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</si>
  <si>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</si>
  <si>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</si>
  <si>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</si>
  <si>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</si>
  <si>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</si>
  <si>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</si>
  <si>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</si>
  <si>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</si>
  <si>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</si>
  <si>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</si>
  <si>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</si>
  <si>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</si>
  <si>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</si>
  <si>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</si>
  <si>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</si>
  <si>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</si>
  <si>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</si>
  <si>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</si>
  <si>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</si>
  <si>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</si>
  <si>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</si>
  <si>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</si>
  <si>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</si>
  <si>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</si>
  <si>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</si>
  <si>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</si>
  <si>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</si>
  <si>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</si>
  <si>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</si>
  <si>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</si>
  <si>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</si>
  <si>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</si>
  <si>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</si>
  <si>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</si>
  <si>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</si>
  <si>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</si>
  <si>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</si>
  <si>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</si>
  <si>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</si>
  <si>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</si>
  <si>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</si>
  <si>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</si>
  <si>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</si>
  <si>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</si>
  <si>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</si>
  <si>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</si>
  <si>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</si>
  <si>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</si>
  <si>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</si>
  <si>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</si>
  <si>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</si>
  <si>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</si>
  <si>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</si>
  <si>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</si>
  <si>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</si>
  <si>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</si>
  <si>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</si>
  <si>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</si>
  <si>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</si>
  <si>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</si>
  <si>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</si>
  <si>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</si>
  <si>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</si>
  <si>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</si>
  <si>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</si>
  <si>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</si>
  <si>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</si>
  <si>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</si>
  <si>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</si>
  <si>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</si>
  <si>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</si>
  <si>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</si>
  <si>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</si>
  <si>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</si>
  <si>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</si>
  <si>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</si>
  <si>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</si>
  <si>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</si>
  <si>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</si>
  <si>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</si>
  <si>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</si>
  <si>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</si>
  <si>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</si>
  <si>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</si>
  <si>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</si>
  <si>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</si>
  <si>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</si>
  <si>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</si>
  <si>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</si>
  <si>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</si>
  <si>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</si>
  <si>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</si>
  <si>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</si>
  <si>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</si>
  <si>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</si>
  <si>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</si>
  <si>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</si>
  <si>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</si>
  <si>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</si>
  <si>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</si>
  <si>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</si>
  <si>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</si>
  <si>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</si>
  <si>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</si>
  <si>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</si>
  <si>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</si>
  <si>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</si>
  <si>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</si>
  <si>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</si>
  <si>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</si>
  <si>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</si>
  <si>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</si>
  <si>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</si>
  <si>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</si>
  <si>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</si>
  <si>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</si>
  <si>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</si>
  <si>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</si>
  <si>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</si>
  <si>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</si>
  <si>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</si>
  <si>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</si>
  <si>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</si>
  <si>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</si>
  <si>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</si>
  <si>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</si>
  <si>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</si>
  <si>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</si>
  <si>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</si>
  <si>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</si>
  <si>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</si>
  <si>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</si>
  <si>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</si>
  <si>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</si>
  <si>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</si>
  <si>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</si>
  <si>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</si>
  <si>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</si>
  <si>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</si>
  <si>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</si>
  <si>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</si>
  <si>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</si>
  <si>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</si>
  <si>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</si>
  <si>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</si>
  <si>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</si>
  <si>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</si>
  <si>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</si>
  <si>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</si>
  <si>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</si>
  <si>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</si>
  <si>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</si>
  <si>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</si>
  <si>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</si>
  <si>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</si>
  <si>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</si>
  <si>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</si>
  <si>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</si>
  <si>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</si>
  <si>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</si>
  <si>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</si>
  <si>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</si>
  <si>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</si>
  <si>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</si>
  <si>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</si>
  <si>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</si>
  <si>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</si>
  <si>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</si>
  <si>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</si>
  <si>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</si>
  <si>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</si>
  <si>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</si>
  <si>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</si>
  <si>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</si>
  <si>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</si>
  <si>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</si>
  <si>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</si>
  <si>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</si>
  <si>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</si>
  <si>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</si>
  <si>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</si>
  <si>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</si>
  <si>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</si>
  <si>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</si>
  <si>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</si>
  <si>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</si>
  <si>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</si>
  <si>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</si>
  <si>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</si>
  <si>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</si>
  <si>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</si>
  <si>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</si>
  <si>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</si>
  <si>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</si>
  <si>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</si>
  <si>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</si>
  <si>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</si>
  <si>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</si>
  <si>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</si>
  <si>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</si>
  <si>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</si>
  <si>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</si>
  <si>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</si>
  <si>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</si>
  <si>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</si>
  <si>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</si>
  <si>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</si>
  <si>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</si>
  <si>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</si>
  <si>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</si>
  <si>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</si>
  <si>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</si>
  <si>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</si>
  <si>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</si>
  <si>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</si>
  <si>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</si>
  <si>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</si>
  <si>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</si>
  <si>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</si>
  <si>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</si>
  <si>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</si>
  <si>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</si>
  <si>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</si>
  <si>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</si>
  <si>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</si>
  <si>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</si>
  <si>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</si>
  <si>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</si>
  <si>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</si>
  <si>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</si>
  <si>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</si>
  <si>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</si>
  <si>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</si>
  <si>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</si>
  <si>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</si>
  <si>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</si>
  <si>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</si>
  <si>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</si>
  <si>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</si>
  <si>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</si>
  <si>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</si>
  <si>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</si>
  <si>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</si>
  <si>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</si>
  <si>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</si>
  <si>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</si>
  <si>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</si>
  <si>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</si>
  <si>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</si>
  <si>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</si>
  <si>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</si>
  <si>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</si>
  <si>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</si>
  <si>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</si>
  <si>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</si>
  <si>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</si>
  <si>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</si>
  <si>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</si>
  <si>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</si>
  <si>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</si>
  <si>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</si>
  <si>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</si>
  <si>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</si>
  <si>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</si>
  <si>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</si>
  <si>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</si>
  <si>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</si>
  <si>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</si>
  <si>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</si>
  <si>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</si>
  <si>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</si>
  <si>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</si>
  <si>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</si>
  <si>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</si>
  <si>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</si>
  <si>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</si>
  <si>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</si>
  <si>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</si>
  <si>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</si>
  <si>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</si>
  <si>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</si>
  <si>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</si>
  <si>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</si>
  <si>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</si>
  <si>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</si>
  <si>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</si>
  <si>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</si>
  <si>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</si>
  <si>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</si>
  <si>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</si>
  <si>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</si>
  <si>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</si>
  <si>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</si>
  <si>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</si>
  <si>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</si>
  <si>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</si>
  <si>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</si>
  <si>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</si>
  <si>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</si>
  <si>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</si>
  <si>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</si>
  <si>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</si>
  <si>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</si>
  <si>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</si>
  <si>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</si>
  <si>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</si>
  <si>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</si>
  <si>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</si>
  <si>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</si>
  <si>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</si>
  <si>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</si>
  <si>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</si>
  <si>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</si>
  <si>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</si>
  <si>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</si>
  <si>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</si>
  <si>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</si>
  <si>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</si>
  <si>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</si>
  <si>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</si>
  <si>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</si>
  <si>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</si>
  <si>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</si>
  <si>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</si>
  <si>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</si>
  <si>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</si>
  <si>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</si>
  <si>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</si>
  <si>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</si>
  <si>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</si>
  <si>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</si>
  <si>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</si>
  <si>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</si>
  <si>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</si>
  <si>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</si>
  <si>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</si>
  <si>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</si>
  <si>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</si>
  <si>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</si>
  <si>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</si>
  <si>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</si>
  <si>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</si>
  <si>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</si>
  <si>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</si>
  <si>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</si>
  <si>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</si>
  <si>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</si>
  <si>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</si>
  <si>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</si>
  <si>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</si>
  <si>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</si>
  <si>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</si>
  <si>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</si>
  <si>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</si>
  <si>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</si>
  <si>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</si>
  <si>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</si>
  <si>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</si>
  <si>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</si>
  <si>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</si>
  <si>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</si>
  <si>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</si>
  <si>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</si>
  <si>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</si>
  <si>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</si>
  <si>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</si>
  <si>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</si>
  <si>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</si>
  <si>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</si>
  <si>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</si>
  <si>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</si>
  <si>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</si>
  <si>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</si>
  <si>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</si>
  <si>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</si>
  <si>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</si>
  <si>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</si>
  <si>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</si>
  <si>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</si>
  <si>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</si>
  <si>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</si>
  <si>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</si>
  <si>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</si>
  <si>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</si>
  <si>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</si>
  <si>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</si>
  <si>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</si>
  <si>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</si>
  <si>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</si>
  <si>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</si>
  <si>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</si>
  <si>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</si>
  <si>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</si>
  <si>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</si>
  <si>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</si>
  <si>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</si>
  <si>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</si>
  <si>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</si>
  <si>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</si>
  <si>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</si>
  <si>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</si>
  <si>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</si>
  <si>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</si>
  <si>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</si>
  <si>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</si>
  <si>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</si>
  <si>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</si>
  <si>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</si>
  <si>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</si>
  <si>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</si>
  <si>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</si>
  <si>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</si>
  <si>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</si>
  <si>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</si>
  <si>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</si>
  <si>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</si>
  <si>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</si>
  <si>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</si>
  <si>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</si>
  <si>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</si>
  <si>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</si>
  <si>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</si>
  <si>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</si>
  <si>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</si>
  <si>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</si>
  <si>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</si>
  <si>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</si>
  <si>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</si>
  <si>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</si>
  <si>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</si>
  <si>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</si>
  <si>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</si>
  <si>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</si>
  <si>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</si>
  <si>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</si>
  <si>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</si>
  <si>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</si>
  <si>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</si>
  <si>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</si>
  <si>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</si>
  <si>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</si>
  <si>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</si>
  <si>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</si>
  <si>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</si>
  <si>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</si>
  <si>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</si>
  <si>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</si>
  <si>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</si>
  <si>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</si>
  <si>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</si>
  <si>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</si>
  <si>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</si>
  <si>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</si>
  <si>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</si>
  <si>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</si>
  <si>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</si>
  <si>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</si>
  <si>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</si>
  <si>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</si>
  <si>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</si>
  <si>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</si>
  <si>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</si>
  <si>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</si>
  <si>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</si>
  <si>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</si>
  <si>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</si>
  <si>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</si>
  <si>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</si>
  <si>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</si>
  <si>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</si>
  <si>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</si>
  <si>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</si>
  <si>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</si>
  <si>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</si>
  <si>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</si>
  <si>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</si>
  <si>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</si>
  <si>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</si>
  <si>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</si>
  <si>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</si>
  <si>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</si>
  <si>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</si>
  <si>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</si>
  <si>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</si>
  <si>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</si>
  <si>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</si>
  <si>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</si>
  <si>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</si>
  <si>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</si>
  <si>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</si>
  <si>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</si>
  <si>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</si>
  <si>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</si>
  <si>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</si>
  <si>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</si>
  <si>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</si>
  <si>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</si>
  <si>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</si>
  <si>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</si>
  <si>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</si>
  <si>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</si>
  <si>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</si>
  <si>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</si>
  <si>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</si>
  <si>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</si>
  <si>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</si>
  <si>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</si>
  <si>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</si>
  <si>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</si>
  <si>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</si>
  <si>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</si>
  <si>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</si>
  <si>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</si>
  <si>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</si>
  <si>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</si>
  <si>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</si>
  <si>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</si>
  <si>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</si>
  <si>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</si>
  <si>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</si>
  <si>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</si>
  <si>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</si>
  <si>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</si>
  <si>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</si>
  <si>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</si>
  <si>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</si>
  <si>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</si>
  <si>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</si>
  <si>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</si>
  <si>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</si>
  <si>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</si>
  <si>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</si>
  <si>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</si>
  <si>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</si>
  <si>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</si>
  <si>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</si>
  <si>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</si>
  <si>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</si>
  <si>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</si>
  <si>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</si>
  <si>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</si>
  <si>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</si>
  <si>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</si>
  <si>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</si>
  <si>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</si>
  <si>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</si>
  <si>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</si>
  <si>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</si>
  <si>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</si>
  <si>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</si>
  <si>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</si>
  <si>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</si>
  <si>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</si>
  <si>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</si>
  <si>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</si>
  <si>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</si>
  <si>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</si>
  <si>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</si>
  <si>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</si>
  <si>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</si>
  <si>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</si>
  <si>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</si>
  <si>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</si>
  <si>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</si>
  <si>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</si>
  <si>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</si>
  <si>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</si>
  <si>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</si>
  <si>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</si>
  <si>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</si>
  <si>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</si>
  <si>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</si>
  <si>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</si>
  <si>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</si>
  <si>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</si>
  <si>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</si>
  <si>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</si>
  <si>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</si>
  <si>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</si>
  <si>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</si>
  <si>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</si>
  <si>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</si>
  <si>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</si>
  <si>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</si>
  <si>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</si>
  <si>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</si>
  <si>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</si>
  <si>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</si>
  <si>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</si>
  <si>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</si>
  <si>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</si>
  <si>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</si>
  <si>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</si>
  <si>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</si>
  <si>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</si>
  <si>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</si>
  <si>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</si>
  <si>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</si>
  <si>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</si>
  <si>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</si>
  <si>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</si>
  <si>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</si>
  <si>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</si>
  <si>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</si>
  <si>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</si>
  <si>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</si>
  <si>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</si>
  <si>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</si>
  <si>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</si>
  <si>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</si>
  <si>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</si>
  <si>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</si>
  <si>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</si>
  <si>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</si>
  <si>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</si>
  <si>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</si>
  <si>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</si>
  <si>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</si>
  <si>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</si>
  <si>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</si>
  <si>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</si>
  <si>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</si>
  <si>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</si>
  <si>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</si>
  <si>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</si>
  <si>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</si>
  <si>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</si>
  <si>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</si>
  <si>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</si>
  <si>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</si>
  <si>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</si>
  <si>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</si>
  <si>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</si>
  <si>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</si>
  <si>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</si>
  <si>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</si>
  <si>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</si>
  <si>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</si>
  <si>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</si>
  <si>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</si>
  <si>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</si>
  <si>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</si>
  <si>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</si>
  <si>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</si>
  <si>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</si>
  <si>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</si>
  <si>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</si>
  <si>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</si>
  <si>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</si>
  <si>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</si>
  <si>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</si>
  <si>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</si>
  <si>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</si>
  <si>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</si>
  <si>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</si>
  <si>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</si>
  <si>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</si>
  <si>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</si>
  <si>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</si>
  <si>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</si>
  <si>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</si>
  <si>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</si>
  <si>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</si>
  <si>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</si>
  <si>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</si>
  <si>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</si>
  <si>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</si>
  <si>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</si>
  <si>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</si>
  <si>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</si>
  <si>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</si>
  <si>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</si>
  <si>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</si>
  <si>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</si>
  <si>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</si>
  <si>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</si>
  <si>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</si>
  <si>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</si>
  <si>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</si>
  <si>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</si>
  <si>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</si>
  <si>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</si>
  <si>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</si>
  <si>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</si>
  <si>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</si>
  <si>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</si>
  <si>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</si>
  <si>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</si>
  <si>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</si>
  <si>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</si>
  <si>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</si>
  <si>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</si>
  <si>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</si>
  <si>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</si>
  <si>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</si>
  <si>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</si>
  <si>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</si>
  <si>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</si>
  <si>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</si>
  <si>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</si>
  <si>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</si>
  <si>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</si>
  <si>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</si>
  <si>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</si>
  <si>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</si>
  <si>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</si>
  <si>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</si>
  <si>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</si>
  <si>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</si>
  <si>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</si>
  <si>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</si>
  <si>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</si>
  <si>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</si>
  <si>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</si>
  <si>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</si>
  <si>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</si>
  <si>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</si>
  <si>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</si>
  <si>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</si>
  <si>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</si>
  <si>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</si>
  <si>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</si>
  <si>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</si>
  <si>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</si>
  <si>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</si>
  <si>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</si>
  <si>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</si>
  <si>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</si>
  <si>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</si>
  <si>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</si>
  <si>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</si>
  <si>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</si>
  <si>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</si>
  <si>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</si>
  <si>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</si>
  <si>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</si>
  <si>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</si>
  <si>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</si>
  <si>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</si>
  <si>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</si>
  <si>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</si>
  <si>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</si>
  <si>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</si>
  <si>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</si>
  <si>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</si>
  <si>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</si>
  <si>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</si>
  <si>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</si>
  <si>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</si>
  <si>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</si>
  <si>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</si>
  <si>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</si>
  <si>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</si>
  <si>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</si>
  <si>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</si>
  <si>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</si>
  <si>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</si>
  <si>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</si>
  <si>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</si>
  <si>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</si>
  <si>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</si>
  <si>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</si>
  <si>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</si>
  <si>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</si>
  <si>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</si>
  <si>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</si>
  <si>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</si>
  <si>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</si>
  <si>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</si>
  <si>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</si>
  <si>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</si>
  <si>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</si>
  <si>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</si>
  <si>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</si>
  <si>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</si>
  <si>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</si>
  <si>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</si>
  <si>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</si>
  <si>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</si>
  <si>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</si>
  <si>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</si>
  <si>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</si>
  <si>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</si>
  <si>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</si>
  <si>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</si>
  <si>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</si>
  <si>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</si>
  <si>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</si>
  <si>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</si>
  <si>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</si>
  <si>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</si>
  <si>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</si>
  <si>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</si>
  <si>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</si>
  <si>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</si>
  <si>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</si>
  <si>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</si>
  <si>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</si>
  <si>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</si>
  <si>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</si>
  <si>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</si>
  <si>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</si>
  <si>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</si>
  <si>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</si>
  <si>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</si>
  <si>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</si>
  <si>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</si>
  <si>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</si>
  <si>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</si>
  <si>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</si>
  <si>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</si>
  <si>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</si>
  <si>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</si>
  <si>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</si>
  <si>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</si>
  <si>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</si>
  <si>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</si>
  <si>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</si>
  <si>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</si>
  <si>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</si>
  <si>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</si>
  <si>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</si>
  <si>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</si>
  <si>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</si>
  <si>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</si>
  <si>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</si>
  <si>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</si>
  <si>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</si>
  <si>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</si>
  <si>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</si>
  <si>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</si>
  <si>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</si>
  <si>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</si>
  <si>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</si>
  <si>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</si>
  <si>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</si>
  <si>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</si>
  <si>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</si>
  <si>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</si>
  <si>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</si>
  <si>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</si>
  <si>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</si>
  <si>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</si>
  <si>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</si>
  <si>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</si>
  <si>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</si>
  <si>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</si>
  <si>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</si>
  <si>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</si>
  <si>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</si>
  <si>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</si>
  <si>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</si>
  <si>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</si>
  <si>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</si>
  <si>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</si>
  <si>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</si>
  <si>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</si>
  <si>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</si>
  <si>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</si>
  <si>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</si>
  <si>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</si>
  <si>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</si>
  <si>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</si>
  <si>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</si>
  <si>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</si>
  <si>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</si>
  <si>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</si>
  <si>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</si>
  <si>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</si>
  <si>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</si>
  <si>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</si>
  <si>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</si>
  <si>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</si>
  <si>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</si>
  <si>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</si>
  <si>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</si>
  <si>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</si>
  <si>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</si>
  <si>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</si>
  <si>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</si>
  <si>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</si>
  <si>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</si>
  <si>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</si>
  <si>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</si>
  <si>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</si>
  <si>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</si>
  <si>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</si>
  <si>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</si>
  <si>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</si>
  <si>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</si>
  <si>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</si>
  <si>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</si>
  <si>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</si>
  <si>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</si>
  <si>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</si>
  <si>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</si>
  <si>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</si>
  <si>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</si>
  <si>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</si>
  <si>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</si>
  <si>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</si>
  <si>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</si>
  <si>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</si>
  <si>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</si>
  <si>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</si>
  <si>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</si>
  <si>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</si>
  <si>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</si>
  <si>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</si>
  <si>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</si>
  <si>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</si>
  <si>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</si>
  <si>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</si>
  <si>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</si>
  <si>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</si>
  <si>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</si>
  <si>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</si>
  <si>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</si>
  <si>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</si>
  <si>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</si>
  <si>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</si>
  <si>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</si>
  <si>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</si>
  <si>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</si>
  <si>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</si>
  <si>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</si>
  <si>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</si>
  <si>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</si>
  <si>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</si>
  <si>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</si>
  <si>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</si>
  <si>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</si>
  <si>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</si>
  <si>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</si>
  <si>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</si>
  <si>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</si>
  <si>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</si>
  <si>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</si>
  <si>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</si>
  <si>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</si>
  <si>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</si>
  <si>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</si>
  <si>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</si>
  <si>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</si>
  <si>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</si>
  <si>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</si>
  <si>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</si>
  <si>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</si>
  <si>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</si>
  <si>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</si>
  <si>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</si>
  <si>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</si>
  <si>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</si>
  <si>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</si>
  <si>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</si>
  <si>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</si>
  <si>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</si>
  <si>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</si>
  <si>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</si>
  <si>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</si>
  <si>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</si>
  <si>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</si>
  <si>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</si>
  <si>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</si>
  <si>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</si>
  <si>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</si>
  <si>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</si>
  <si>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</si>
  <si>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</si>
  <si>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</si>
  <si>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</si>
  <si>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</si>
  <si>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</si>
  <si>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</si>
  <si>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</si>
  <si>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</si>
  <si>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</si>
  <si>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</si>
  <si>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</si>
  <si>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</si>
  <si>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</si>
  <si>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</si>
  <si>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</si>
  <si>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</si>
  <si>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</si>
  <si>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</si>
  <si>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</si>
  <si>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</si>
  <si>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</si>
  <si>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</si>
  <si>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</si>
  <si>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</si>
  <si>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</si>
  <si>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</si>
  <si>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</si>
  <si>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</si>
  <si>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</si>
  <si>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</si>
  <si>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</si>
  <si>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</si>
  <si>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</si>
  <si>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</si>
  <si>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</si>
  <si>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</si>
  <si>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</si>
  <si>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</si>
  <si>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</si>
  <si>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</si>
  <si>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</si>
  <si>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</si>
  <si>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</si>
  <si>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</si>
  <si>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</si>
  <si>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</si>
  <si>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</si>
  <si>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</si>
  <si>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</si>
  <si>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</si>
  <si>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</si>
  <si>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</si>
  <si>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</si>
  <si>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</si>
  <si>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</si>
  <si>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</si>
  <si>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</si>
  <si>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</si>
  <si>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</si>
  <si>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</si>
  <si>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</si>
  <si>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</si>
  <si>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</si>
  <si>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</si>
  <si>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</si>
  <si>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</si>
  <si>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</si>
  <si>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</si>
  <si>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</si>
  <si>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</si>
  <si>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</si>
  <si>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</si>
  <si>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</si>
  <si>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</si>
  <si>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</si>
  <si>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</si>
  <si>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</si>
  <si>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</si>
  <si>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</si>
  <si>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</si>
  <si>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</si>
  <si>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</si>
  <si>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</si>
  <si>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</si>
  <si>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</si>
  <si>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</si>
  <si>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</si>
  <si>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</si>
  <si>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</si>
  <si>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</si>
  <si>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</si>
  <si>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</si>
  <si>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</si>
  <si>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</si>
  <si>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</si>
  <si>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</si>
  <si>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</si>
  <si>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</si>
  <si>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</si>
  <si>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</si>
  <si>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</si>
  <si>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</si>
  <si>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</si>
  <si>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</si>
  <si>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</si>
  <si>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</si>
  <si>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</si>
  <si>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</si>
  <si>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</si>
  <si>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</si>
  <si>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</si>
  <si>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</si>
  <si>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</si>
  <si>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</si>
  <si>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</si>
  <si>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</si>
  <si>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</si>
  <si>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</si>
  <si>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</si>
  <si>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</si>
  <si>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</si>
  <si>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</si>
  <si>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</si>
  <si>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</si>
  <si>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</si>
  <si>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</si>
  <si>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</si>
  <si>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</si>
  <si>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</si>
  <si>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</si>
  <si>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</si>
  <si>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</si>
  <si>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</si>
  <si>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</si>
  <si>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</si>
  <si>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</si>
  <si>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</si>
  <si>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</si>
  <si>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</si>
  <si>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</si>
  <si>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</si>
  <si>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</si>
  <si>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</si>
  <si>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</si>
  <si>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</si>
  <si>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</si>
  <si>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</si>
  <si>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</si>
  <si>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</si>
  <si>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</si>
  <si>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</si>
  <si>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</si>
  <si>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</si>
  <si>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</si>
  <si>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</si>
  <si>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</si>
  <si>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</si>
  <si>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</si>
  <si>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</si>
  <si>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</si>
  <si>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</si>
  <si>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</si>
  <si>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</si>
  <si>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</si>
  <si>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</si>
  <si>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</si>
  <si>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</si>
  <si>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</si>
  <si>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</si>
  <si>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</si>
  <si>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</si>
  <si>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</si>
  <si>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</si>
  <si>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</si>
  <si>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</si>
  <si>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</si>
  <si>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</si>
  <si>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</si>
  <si>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</si>
  <si>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</si>
  <si>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</si>
  <si>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</si>
  <si>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</si>
  <si>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</si>
  <si>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</si>
  <si>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</si>
  <si>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</si>
  <si>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</si>
  <si>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</si>
  <si>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</si>
  <si>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</si>
  <si>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</si>
  <si>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</si>
  <si>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</si>
  <si>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</si>
  <si>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</si>
  <si>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</si>
  <si>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</si>
  <si>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</si>
  <si>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</si>
  <si>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</si>
  <si>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</si>
  <si>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</si>
  <si>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</si>
  <si>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</si>
  <si>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</si>
  <si>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</si>
  <si>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</si>
  <si>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</si>
  <si>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</si>
  <si>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</si>
  <si>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</si>
  <si>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</si>
  <si>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</si>
  <si>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</si>
  <si>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</si>
  <si>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</si>
  <si>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</si>
  <si>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</si>
  <si>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</si>
  <si>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</si>
  <si>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</si>
  <si>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</si>
  <si>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</si>
  <si>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</si>
  <si>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</si>
  <si>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</si>
  <si>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</si>
  <si>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</si>
  <si>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</si>
  <si>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</si>
  <si>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</si>
  <si>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</si>
  <si>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</si>
  <si>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</si>
  <si>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</si>
  <si>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</si>
  <si>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</si>
  <si>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</si>
  <si>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</si>
  <si>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</si>
  <si>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</si>
  <si>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</si>
  <si>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</si>
  <si>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</si>
  <si>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</si>
  <si>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</si>
  <si>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</si>
  <si>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</si>
  <si>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</si>
  <si>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</si>
  <si>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</si>
  <si>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</si>
  <si>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</si>
  <si>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</si>
  <si>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</si>
  <si>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</si>
  <si>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</si>
  <si>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</si>
  <si>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</si>
  <si>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</si>
  <si>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</si>
  <si>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</si>
  <si>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</si>
  <si>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</si>
  <si>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</si>
  <si>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</si>
  <si>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</si>
  <si>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</si>
  <si>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</si>
  <si>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</si>
  <si>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</si>
  <si>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</si>
  <si>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</si>
  <si>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</si>
  <si>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</si>
  <si>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</si>
  <si>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</si>
  <si>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</si>
  <si>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</si>
  <si>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</si>
  <si>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</si>
  <si>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</si>
  <si>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</si>
  <si>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</si>
  <si>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</si>
  <si>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</si>
  <si>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</si>
  <si>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</si>
  <si>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</si>
  <si>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</si>
  <si>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</si>
  <si>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</si>
  <si>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</si>
  <si>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</si>
  <si>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</si>
  <si>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</si>
  <si>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</si>
  <si>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</si>
  <si>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</si>
  <si>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</si>
  <si>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</si>
  <si>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</si>
  <si>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</si>
  <si>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</si>
  <si>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</si>
  <si>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</si>
  <si>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</si>
  <si>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</si>
  <si>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</si>
  <si>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</si>
  <si>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</si>
  <si>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</si>
  <si>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</si>
  <si>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</si>
  <si>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</si>
  <si>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</si>
  <si>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</si>
  <si>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</si>
  <si>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</si>
  <si>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</si>
  <si>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</si>
  <si>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</si>
  <si>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</si>
  <si>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</si>
  <si>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</si>
  <si>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</si>
  <si>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</si>
  <si>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</si>
  <si>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</si>
  <si>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</si>
  <si>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</si>
  <si>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</si>
  <si>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</si>
  <si>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</si>
  <si>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</si>
  <si>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</si>
  <si>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</si>
  <si>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</si>
  <si>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</si>
  <si>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</si>
  <si>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</si>
  <si>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</si>
  <si>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</si>
  <si>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</si>
  <si>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</si>
  <si>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</si>
  <si>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</si>
  <si>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</si>
  <si>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</si>
  <si>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</si>
  <si>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</si>
  <si>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</si>
  <si>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</si>
  <si>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</si>
  <si>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</si>
  <si>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</si>
  <si>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</si>
  <si>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</si>
  <si>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</si>
  <si>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</si>
  <si>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</si>
  <si>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</si>
  <si>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</si>
  <si>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</si>
  <si>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</si>
  <si>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</si>
  <si>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</si>
  <si>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</si>
  <si>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</si>
  <si>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</si>
  <si>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</si>
  <si>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</si>
  <si>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</si>
  <si>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</si>
  <si>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</si>
  <si>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</si>
  <si>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</si>
  <si>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</si>
  <si>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</si>
  <si>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</si>
  <si>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</si>
  <si>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</si>
  <si>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</si>
  <si>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</si>
  <si>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</si>
  <si>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</si>
  <si>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</si>
  <si>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</si>
  <si>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</si>
  <si>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</si>
  <si>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</si>
  <si>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</si>
  <si>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</si>
  <si>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</si>
  <si>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</si>
  <si>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</si>
  <si>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</si>
  <si>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</si>
  <si>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</si>
  <si>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</si>
  <si>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</si>
  <si>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</si>
  <si>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</si>
  <si>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</si>
  <si>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</si>
  <si>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</si>
  <si>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</si>
  <si>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</si>
  <si>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</si>
  <si>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</si>
  <si>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</si>
  <si>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</si>
  <si>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</si>
  <si>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</si>
  <si>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</si>
  <si>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</si>
  <si>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</si>
  <si>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</si>
  <si>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</si>
  <si>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</si>
  <si>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</si>
  <si>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</si>
  <si>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</si>
  <si>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</si>
  <si>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</si>
  <si>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</si>
  <si>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</si>
  <si>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</si>
  <si>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</si>
  <si>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</si>
  <si>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</si>
  <si>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</si>
  <si>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</si>
  <si>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</si>
  <si>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</si>
  <si>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</si>
  <si>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</si>
  <si>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</si>
  <si>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</si>
  <si>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</si>
  <si>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</si>
  <si>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</si>
  <si>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</si>
  <si>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</si>
  <si>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</si>
  <si>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</si>
  <si>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</si>
  <si>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</si>
  <si>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</si>
  <si>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</si>
  <si>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</si>
  <si>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</si>
  <si>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</si>
  <si>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</si>
  <si>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</si>
  <si>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</si>
  <si>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</si>
  <si>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</si>
  <si>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</si>
  <si>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</si>
  <si>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</si>
  <si>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</si>
  <si>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</si>
  <si>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</si>
  <si>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</si>
  <si>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</si>
  <si>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</si>
  <si>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</si>
  <si>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</si>
  <si>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</si>
  <si>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</si>
  <si>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</si>
  <si>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</si>
  <si>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</si>
  <si>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</si>
  <si>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</si>
  <si>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</si>
  <si>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</si>
  <si>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</si>
  <si>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</si>
  <si>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</si>
  <si>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</si>
  <si>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</si>
  <si>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</si>
  <si>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</si>
  <si>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</si>
  <si>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</si>
  <si>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</si>
  <si>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</si>
  <si>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</si>
  <si>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</si>
  <si>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</si>
  <si>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</si>
  <si>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</si>
  <si>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</si>
  <si>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</si>
  <si>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</si>
  <si>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</si>
  <si>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</si>
  <si>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</si>
  <si>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</si>
  <si>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</si>
  <si>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</si>
  <si>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</si>
  <si>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</si>
  <si>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</si>
  <si>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</si>
  <si>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</si>
  <si>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</si>
  <si>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</si>
  <si>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</si>
  <si>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</si>
  <si>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</si>
  <si>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</si>
  <si>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</si>
  <si>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</si>
  <si>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</si>
  <si>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</si>
  <si>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</si>
  <si>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</si>
  <si>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</si>
  <si>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</si>
  <si>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</si>
  <si>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</si>
  <si>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</si>
  <si>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</si>
  <si>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</si>
  <si>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</si>
  <si>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</si>
  <si>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</si>
  <si>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</si>
  <si>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</si>
  <si>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</si>
  <si>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</si>
  <si>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</si>
  <si>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</si>
  <si>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</si>
  <si>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</si>
  <si>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</si>
  <si>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</si>
  <si>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</si>
  <si>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</si>
  <si>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</si>
  <si>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</si>
  <si>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</si>
  <si>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</si>
  <si>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</si>
  <si>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</si>
  <si>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</si>
  <si>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</si>
  <si>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</si>
  <si>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</si>
  <si>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</si>
  <si>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</si>
  <si>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</si>
  <si>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</si>
  <si>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</si>
  <si>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</si>
  <si>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</si>
  <si>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</si>
  <si>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</si>
  <si>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</si>
  <si>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</si>
  <si>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</si>
  <si>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</si>
  <si>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</si>
  <si>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</si>
  <si>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</si>
  <si>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</si>
  <si>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</si>
  <si>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</si>
  <si>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</si>
  <si>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</si>
  <si>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</si>
  <si>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</si>
  <si>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</si>
  <si>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</si>
  <si>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</si>
  <si>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</si>
  <si>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</si>
  <si>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</si>
  <si>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</si>
  <si>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</si>
  <si>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</si>
  <si>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</si>
  <si>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</si>
  <si>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</si>
  <si>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</si>
  <si>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</si>
  <si>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</si>
  <si>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</si>
  <si>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</si>
  <si>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</si>
  <si>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</si>
  <si>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</si>
  <si>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</si>
  <si>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</si>
  <si>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</si>
  <si>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</si>
  <si>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</si>
  <si>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</si>
  <si>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</si>
  <si>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</si>
  <si>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</si>
  <si>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</si>
  <si>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</si>
  <si>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</si>
  <si>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</si>
  <si>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</si>
  <si>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</si>
  <si>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</si>
  <si>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</si>
  <si>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</si>
  <si>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</si>
  <si>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</si>
  <si>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</si>
  <si>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</si>
  <si>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</si>
  <si>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</si>
  <si>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</si>
  <si>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</si>
  <si>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</si>
  <si>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</si>
  <si>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</si>
  <si>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</si>
  <si>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</si>
  <si>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</si>
  <si>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</si>
  <si>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</si>
  <si>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</si>
  <si>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</si>
  <si>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</si>
  <si>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</si>
  <si>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</si>
  <si>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</si>
  <si>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</si>
  <si>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</si>
  <si>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</si>
  <si>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</si>
  <si>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</si>
  <si>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</si>
  <si>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</si>
  <si>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</si>
  <si>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</si>
  <si>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</si>
  <si>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</si>
  <si>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</si>
  <si>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</si>
  <si>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</si>
  <si>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</si>
  <si>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</si>
  <si>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</si>
  <si>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</si>
  <si>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</si>
  <si>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</si>
  <si>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</si>
  <si>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</si>
  <si>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</si>
  <si>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</si>
  <si>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</si>
  <si>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</si>
  <si>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</si>
  <si>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</si>
  <si>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</si>
  <si>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</si>
  <si>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</si>
  <si>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</si>
  <si>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</si>
  <si>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</si>
  <si>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</si>
  <si>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</si>
  <si>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</si>
  <si>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</si>
  <si>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</si>
  <si>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</si>
  <si>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</si>
  <si>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</si>
  <si>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</si>
  <si>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</si>
  <si>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</si>
  <si>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</si>
  <si>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</si>
  <si>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</si>
  <si>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</si>
  <si>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</si>
  <si>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</si>
  <si>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</si>
  <si>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</si>
  <si>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</si>
  <si>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</si>
  <si>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</si>
  <si>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</si>
  <si>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</si>
  <si>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</si>
  <si>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</si>
  <si>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</si>
  <si>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</si>
  <si>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</si>
  <si>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</si>
  <si>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</si>
  <si>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</si>
  <si>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</si>
  <si>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</si>
  <si>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</si>
  <si>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</si>
  <si>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</si>
  <si>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</si>
  <si>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</si>
  <si>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</si>
  <si>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</si>
  <si>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</si>
  <si>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</si>
  <si>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</si>
  <si>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</si>
  <si>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</si>
  <si>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</si>
  <si>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</si>
  <si>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</si>
  <si>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</si>
  <si>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</si>
  <si>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</si>
  <si>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</si>
  <si>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</si>
  <si>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</si>
  <si>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</si>
  <si>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</si>
  <si>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</si>
  <si>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</si>
  <si>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</si>
  <si>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</si>
  <si>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</si>
  <si>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</si>
  <si>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</si>
  <si>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</si>
  <si>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</si>
  <si>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</si>
  <si>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</si>
  <si>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</si>
  <si>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</si>
  <si>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</si>
  <si>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</si>
  <si>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</si>
  <si>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</si>
  <si>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</si>
  <si>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</si>
  <si>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</si>
  <si>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</si>
  <si>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</si>
  <si>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</si>
  <si>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</si>
  <si>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</si>
  <si>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</si>
  <si>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</si>
  <si>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</si>
  <si>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</si>
  <si>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</si>
  <si>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</si>
  <si>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</si>
  <si>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</si>
  <si>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</si>
  <si>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</si>
  <si>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</si>
  <si>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</si>
  <si>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</si>
  <si>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</si>
  <si>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</si>
  <si>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</si>
  <si>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</si>
  <si>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</si>
  <si>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</si>
  <si>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</si>
  <si>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</si>
  <si>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</si>
  <si>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</si>
  <si>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</si>
  <si>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</si>
  <si>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</si>
  <si>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</si>
  <si>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</si>
  <si>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</si>
  <si>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</si>
  <si>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</si>
  <si>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</si>
  <si>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</si>
  <si>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</si>
  <si>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</si>
  <si>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</si>
  <si>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</si>
  <si>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</si>
  <si>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</si>
  <si>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</si>
  <si>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</si>
  <si>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</si>
  <si>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</si>
  <si>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</si>
  <si>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</si>
  <si>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</si>
  <si>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</si>
  <si>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</si>
  <si>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</si>
  <si>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</si>
  <si>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</si>
  <si>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</si>
  <si>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</si>
  <si>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</si>
  <si>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</si>
  <si>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</si>
  <si>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</si>
  <si>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</si>
  <si>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</si>
  <si>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</si>
  <si>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</si>
  <si>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</si>
  <si>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</si>
  <si>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</si>
  <si>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</si>
  <si>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</si>
  <si>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</si>
  <si>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</si>
  <si>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</si>
  <si>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</si>
  <si>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</si>
  <si>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</si>
  <si>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</si>
  <si>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</si>
  <si>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</si>
  <si>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</si>
  <si>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</si>
  <si>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</si>
  <si>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</si>
  <si>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</si>
  <si>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</si>
  <si>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</si>
  <si>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</si>
  <si>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</si>
  <si>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</si>
  <si>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</si>
  <si>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</si>
  <si>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</si>
  <si>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</si>
  <si>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</si>
  <si>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</si>
  <si>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</si>
  <si>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</si>
  <si>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</si>
  <si>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</si>
  <si>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</si>
  <si>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</si>
  <si>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</si>
  <si>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</si>
  <si>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</si>
  <si>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</si>
  <si>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</si>
  <si>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</si>
  <si>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</si>
  <si>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</si>
  <si>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</si>
  <si>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</si>
  <si>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</si>
  <si>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</si>
  <si>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</si>
  <si>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</si>
  <si>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</si>
  <si>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</si>
  <si>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</si>
  <si>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</si>
  <si>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</si>
  <si>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</si>
  <si>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</si>
  <si>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</si>
  <si>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</si>
  <si>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</si>
  <si>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</si>
  <si>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</si>
  <si>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</si>
  <si>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</si>
  <si>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</si>
  <si>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</si>
  <si>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</si>
  <si>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</si>
  <si>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</si>
  <si>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</si>
  <si>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</si>
  <si>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</si>
  <si>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</si>
  <si>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</si>
  <si>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</si>
  <si>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</si>
  <si>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</si>
  <si>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</si>
  <si>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</si>
  <si>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</si>
  <si>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</si>
  <si>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</si>
  <si>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</si>
  <si>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</si>
  <si>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</si>
  <si>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</si>
  <si>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</si>
  <si>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</si>
  <si>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</si>
  <si>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</si>
  <si>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</si>
  <si>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</si>
  <si>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</si>
  <si>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</si>
  <si>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</si>
  <si>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</si>
  <si>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</si>
  <si>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</si>
  <si>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</si>
  <si>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</si>
  <si>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</si>
  <si>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</si>
  <si>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</si>
  <si>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</si>
  <si>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</si>
  <si>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</si>
  <si>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</si>
  <si>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</si>
  <si>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</si>
  <si>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</si>
  <si>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</si>
  <si>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</si>
  <si>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</si>
  <si>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</si>
  <si>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</si>
  <si>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</si>
  <si>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</si>
  <si>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</si>
  <si>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</si>
  <si>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</si>
  <si>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</si>
  <si>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</si>
  <si>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</si>
  <si>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</si>
  <si>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</si>
  <si>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</si>
  <si>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</si>
  <si>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</si>
  <si>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</si>
  <si>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</si>
  <si>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</si>
  <si>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</si>
  <si>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</si>
  <si>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</si>
  <si>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</si>
  <si>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</si>
  <si>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</si>
  <si>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</si>
  <si>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</si>
  <si>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</si>
  <si>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</si>
  <si>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</si>
  <si>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</si>
  <si>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</si>
  <si>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</si>
  <si>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</si>
  <si>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</si>
  <si>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</si>
  <si>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</si>
  <si>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</si>
  <si>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</si>
  <si>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</si>
  <si>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</si>
  <si>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</si>
  <si>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</si>
  <si>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</si>
  <si>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</si>
  <si>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</si>
  <si>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</si>
  <si>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</si>
  <si>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</si>
  <si>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</si>
  <si>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</si>
  <si>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</si>
  <si>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</si>
  <si>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</si>
  <si>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</si>
  <si>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</si>
  <si>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</si>
  <si>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</si>
  <si>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</si>
  <si>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</si>
  <si>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</si>
  <si>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</si>
  <si>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</si>
  <si>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</si>
  <si>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</si>
  <si>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</si>
  <si>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</si>
  <si>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</si>
  <si>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</si>
  <si>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</si>
  <si>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</si>
  <si>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</si>
  <si>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</si>
  <si>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</si>
  <si>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</si>
  <si>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</si>
  <si>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</si>
  <si>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</si>
  <si>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</si>
  <si>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</si>
  <si>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</si>
  <si>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</si>
  <si>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</si>
  <si>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</si>
  <si>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</si>
  <si>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</si>
  <si>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</si>
  <si>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</si>
  <si>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</si>
  <si>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</si>
  <si>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</si>
  <si>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</si>
  <si>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</si>
  <si>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</si>
  <si>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</si>
  <si>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</si>
  <si>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</si>
  <si>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</si>
  <si>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</si>
  <si>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</si>
  <si>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</si>
  <si>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</si>
  <si>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</si>
  <si>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</si>
  <si>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</si>
  <si>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</si>
  <si>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</si>
  <si>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</si>
  <si>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</si>
  <si>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</si>
  <si>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</si>
  <si>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</si>
  <si>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</si>
  <si>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</si>
  <si>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</si>
  <si>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</si>
  <si>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</si>
  <si>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</si>
  <si>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</si>
  <si>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</si>
  <si>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</si>
  <si>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</si>
  <si>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</si>
  <si>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</si>
  <si>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</si>
  <si>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</si>
  <si>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</si>
  <si>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</si>
  <si>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</si>
  <si>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</si>
  <si>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</si>
  <si>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</si>
  <si>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</si>
  <si>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</si>
  <si>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</si>
  <si>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</si>
  <si>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</si>
  <si>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</si>
  <si>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</si>
  <si>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</si>
  <si>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</si>
  <si>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</si>
  <si>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</si>
  <si>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</si>
  <si>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</si>
  <si>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</si>
  <si>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</si>
  <si>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</si>
  <si>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</si>
  <si>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</si>
  <si>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</si>
  <si>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</si>
  <si>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</si>
  <si>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</si>
  <si>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</si>
  <si>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</si>
  <si>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</si>
  <si>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</si>
  <si>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</si>
  <si>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</si>
  <si>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</si>
  <si>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</si>
  <si>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</si>
  <si>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</si>
  <si>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</si>
  <si>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</si>
  <si>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</si>
  <si>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</si>
  <si>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</si>
  <si>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</si>
  <si>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</si>
  <si>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</si>
  <si>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</si>
  <si>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</si>
  <si>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</si>
  <si>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</si>
  <si>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</si>
  <si>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</si>
  <si>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</si>
  <si>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</si>
  <si>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</si>
  <si>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</si>
  <si>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</si>
  <si>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</si>
  <si>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</si>
  <si>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</si>
  <si>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</si>
  <si>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</si>
  <si>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</si>
  <si>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</si>
  <si>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</si>
  <si>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</si>
  <si>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</si>
  <si>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</si>
  <si>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</si>
  <si>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</si>
  <si>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</si>
  <si>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</si>
  <si>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</si>
  <si>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</si>
  <si>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</si>
  <si>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</si>
  <si>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</si>
  <si>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</si>
  <si>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</si>
  <si>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</si>
  <si>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</si>
  <si>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</si>
  <si>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</si>
  <si>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</si>
  <si>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</si>
  <si>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</si>
  <si>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</si>
  <si>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</si>
  <si>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</si>
  <si>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</si>
  <si>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</si>
  <si>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</si>
  <si>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</si>
  <si>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</si>
  <si>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</si>
  <si>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</si>
  <si>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</si>
  <si>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</si>
  <si>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</si>
  <si>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</si>
  <si>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</si>
  <si>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</si>
  <si>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</si>
  <si>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</si>
  <si>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</si>
  <si>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</si>
  <si>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</si>
  <si>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</si>
  <si>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</si>
  <si>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</si>
  <si>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</si>
  <si>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</si>
  <si>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</si>
  <si>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</si>
  <si>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</si>
  <si>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</si>
  <si>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</si>
  <si>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</si>
  <si>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</si>
  <si>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</si>
  <si>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</si>
  <si>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</si>
  <si>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</si>
  <si>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</si>
  <si>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</si>
  <si>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</si>
  <si>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</si>
  <si>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</si>
  <si>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</si>
  <si>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</si>
  <si>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</si>
  <si>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</si>
  <si>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</si>
  <si>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</si>
  <si>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</si>
  <si>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</si>
  <si>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</si>
  <si>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</si>
  <si>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</si>
  <si>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</si>
  <si>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</si>
  <si>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</si>
  <si>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</si>
  <si>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</si>
  <si>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</si>
  <si>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</si>
  <si>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</si>
  <si>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</si>
  <si>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</si>
  <si>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</si>
  <si>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</si>
  <si>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</si>
  <si>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</si>
  <si>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</si>
  <si>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</si>
  <si>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</si>
  <si>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</si>
  <si>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</si>
  <si>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</si>
  <si>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</si>
  <si>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</si>
  <si>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</si>
  <si>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</si>
  <si>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</si>
  <si>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</si>
  <si>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</si>
  <si>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</si>
  <si>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</si>
  <si>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</si>
  <si>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</si>
  <si>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</si>
  <si>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</si>
  <si>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</si>
  <si>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</si>
  <si>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</si>
  <si>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</si>
  <si>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</si>
  <si>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</si>
  <si>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</si>
  <si>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</si>
  <si>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</si>
  <si>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</si>
  <si>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</si>
  <si>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</si>
  <si>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</si>
  <si>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</si>
  <si>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</si>
  <si>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</si>
  <si>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</si>
  <si>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</si>
  <si>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</si>
  <si>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</si>
  <si>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</si>
  <si>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</si>
  <si>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</si>
  <si>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</si>
  <si>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</si>
  <si>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</si>
  <si>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</si>
  <si>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</si>
  <si>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</si>
  <si>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</si>
  <si>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</si>
  <si>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</si>
  <si>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</si>
  <si>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</si>
  <si>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</si>
  <si>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</si>
  <si>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</si>
  <si>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</si>
  <si>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</si>
  <si>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</si>
  <si>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</si>
  <si>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</si>
  <si>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</si>
  <si>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</si>
  <si>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</si>
  <si>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</si>
  <si>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</si>
  <si>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</si>
  <si>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</si>
  <si>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</si>
  <si>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</si>
  <si>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</si>
  <si>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</si>
  <si>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</si>
  <si>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</si>
  <si>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</si>
  <si>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</si>
  <si>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</si>
  <si>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</si>
  <si>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</si>
  <si>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</si>
  <si>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</si>
  <si>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</si>
  <si>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</si>
  <si>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</si>
  <si>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</si>
  <si>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</si>
  <si>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</si>
  <si>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</si>
  <si>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</si>
  <si>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</si>
  <si>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</si>
  <si>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</si>
  <si>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</si>
  <si>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</si>
  <si>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</si>
  <si>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</si>
  <si>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</si>
  <si>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</si>
  <si>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</si>
  <si>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</si>
  <si>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</si>
  <si>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</si>
  <si>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</si>
  <si>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</si>
  <si>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</si>
  <si>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</si>
  <si>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</si>
  <si>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</si>
  <si>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</si>
  <si>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</si>
  <si>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</si>
  <si>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</si>
  <si>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</si>
  <si>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</si>
  <si>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</si>
  <si>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</si>
  <si>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</si>
  <si>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</si>
  <si>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</si>
  <si>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</si>
  <si>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</si>
  <si>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</si>
  <si>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</si>
  <si>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</si>
  <si>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</si>
  <si>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</si>
  <si>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</si>
  <si>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</si>
  <si>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</si>
  <si>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</si>
  <si>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</si>
  <si>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</si>
  <si>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</si>
  <si>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</si>
  <si>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</si>
  <si>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</si>
  <si>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</si>
  <si>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</si>
  <si>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</si>
  <si>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</si>
  <si>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</si>
  <si>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</si>
  <si>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</si>
  <si>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</si>
  <si>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</si>
  <si>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</si>
  <si>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</si>
  <si>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</si>
  <si>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</si>
  <si>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</si>
  <si>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</si>
  <si>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</si>
  <si>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</si>
  <si>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</si>
  <si>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</si>
  <si>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</si>
  <si>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</si>
  <si>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</si>
  <si>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</si>
  <si>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</si>
  <si>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</si>
  <si>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</si>
  <si>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</si>
  <si>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</si>
  <si>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</si>
  <si>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</si>
  <si>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</si>
  <si>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</si>
  <si>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</si>
  <si>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</si>
  <si>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</si>
  <si>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</si>
  <si>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</si>
  <si>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</si>
  <si>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</si>
  <si>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</si>
  <si>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</si>
  <si>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</si>
  <si>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</si>
  <si>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</si>
  <si>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</si>
  <si>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</si>
  <si>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</si>
  <si>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</si>
  <si>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</si>
  <si>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</si>
  <si>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</si>
  <si>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</si>
  <si>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</si>
  <si>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</si>
  <si>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</si>
  <si>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</si>
  <si>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</si>
  <si>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</si>
  <si>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</si>
  <si>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</si>
  <si>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</si>
  <si>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</si>
  <si>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</si>
  <si>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</si>
  <si>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</si>
  <si>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</si>
  <si>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</si>
  <si>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</si>
  <si>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</si>
  <si>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</si>
  <si>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</si>
  <si>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</si>
  <si>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</si>
  <si>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</si>
  <si>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</si>
  <si>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</si>
  <si>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</si>
  <si>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</si>
  <si>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</si>
  <si>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</si>
  <si>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</si>
  <si>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</si>
  <si>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</si>
  <si>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</si>
  <si>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</si>
  <si>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</si>
  <si>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</si>
  <si>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</si>
  <si>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</si>
  <si>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</si>
  <si>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</si>
  <si>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</si>
  <si>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</si>
  <si>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</si>
  <si>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</si>
  <si>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</si>
  <si>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</si>
  <si>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</si>
  <si>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</si>
  <si>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</si>
  <si>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</si>
  <si>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</si>
  <si>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</si>
  <si>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</si>
  <si>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</si>
  <si>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</si>
  <si>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</si>
  <si>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</si>
  <si>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</si>
  <si>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</si>
  <si>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</si>
  <si>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</si>
  <si>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</si>
  <si>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</si>
  <si>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</si>
  <si>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</si>
  <si>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</si>
  <si>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</si>
  <si>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</si>
  <si>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</si>
  <si>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</si>
  <si>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</si>
  <si>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</si>
  <si>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</si>
  <si>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</si>
  <si>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</si>
  <si>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</si>
  <si>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</si>
  <si>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</si>
  <si>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</si>
  <si>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</si>
  <si>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</si>
  <si>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</si>
  <si>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</si>
  <si>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</si>
  <si>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</si>
  <si>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</si>
  <si>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</si>
  <si>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</si>
  <si>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</si>
  <si>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</si>
  <si>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</si>
  <si>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</si>
  <si>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</si>
  <si>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</si>
  <si>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</si>
  <si>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</si>
  <si>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</si>
  <si>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</si>
  <si>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</si>
  <si>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</si>
  <si>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</si>
  <si>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</si>
  <si>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</si>
  <si>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</si>
  <si>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</si>
  <si>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</si>
  <si>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</si>
  <si>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</si>
  <si>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</si>
  <si>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</si>
  <si>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</si>
  <si>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</si>
  <si>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</si>
  <si>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</si>
  <si>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</si>
  <si>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</si>
  <si>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</si>
  <si>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</si>
  <si>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</si>
  <si>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</si>
  <si>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</si>
  <si>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</si>
  <si>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</si>
  <si>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</si>
  <si>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</si>
  <si>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</si>
  <si>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</si>
  <si>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</si>
  <si>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</si>
  <si>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</si>
  <si>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</si>
  <si>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</si>
  <si>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</si>
  <si>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</si>
  <si>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</si>
  <si>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</si>
  <si>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</si>
  <si>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</si>
  <si>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</si>
  <si>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</si>
  <si>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</si>
  <si>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</si>
  <si>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</si>
  <si>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</si>
  <si>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</si>
  <si>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</si>
  <si>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</si>
  <si>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</si>
  <si>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</si>
  <si>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</si>
  <si>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</si>
  <si>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</si>
  <si>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</si>
  <si>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</si>
  <si>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</si>
  <si>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</si>
  <si>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</si>
  <si>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</si>
  <si>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</si>
  <si>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</si>
  <si>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</si>
  <si>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</si>
  <si>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</si>
  <si>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</si>
  <si>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</si>
  <si>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</si>
  <si>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</si>
  <si>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</si>
  <si>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</si>
  <si>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</si>
  <si>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</si>
  <si>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</si>
  <si>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</si>
  <si>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</si>
  <si>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</si>
  <si>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</si>
  <si>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</si>
  <si>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</si>
  <si>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</si>
  <si>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</si>
  <si>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</si>
  <si>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</si>
  <si>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</si>
  <si>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</si>
  <si>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</si>
  <si>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</si>
  <si>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</si>
  <si>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</si>
  <si>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</si>
  <si>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</si>
  <si>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</si>
  <si>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</si>
  <si>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</si>
  <si>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</si>
  <si>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</si>
  <si>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</si>
  <si>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</si>
  <si>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</si>
  <si>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</si>
  <si>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</si>
  <si>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</si>
  <si>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</si>
  <si>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</si>
  <si>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</si>
  <si>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</si>
  <si>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</si>
  <si>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</si>
  <si>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</si>
  <si>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</si>
  <si>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</si>
  <si>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</si>
  <si>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</si>
  <si>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</si>
  <si>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</si>
  <si>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</si>
  <si>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</si>
  <si>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</si>
  <si>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</si>
  <si>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</si>
  <si>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</si>
  <si>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</si>
  <si>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</si>
  <si>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</si>
  <si>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</si>
  <si>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</si>
  <si>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</si>
  <si>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</si>
  <si>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</si>
  <si>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</si>
  <si>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</si>
  <si>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</si>
  <si>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</si>
  <si>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</si>
  <si>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</si>
  <si>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</si>
  <si>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</si>
  <si>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</si>
  <si>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</si>
  <si>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</si>
  <si>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</si>
  <si>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</si>
  <si>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</si>
  <si>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</si>
  <si>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</si>
  <si>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</si>
  <si>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</si>
  <si>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</si>
  <si>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</si>
  <si>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</si>
  <si>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</si>
  <si>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</si>
  <si>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</si>
  <si>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</si>
  <si>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</si>
  <si>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</si>
  <si>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</si>
  <si>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</si>
  <si>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</si>
  <si>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</si>
  <si>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</si>
  <si>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</si>
  <si>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</si>
  <si>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</si>
  <si>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</si>
  <si>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</si>
  <si>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</si>
  <si>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</si>
  <si>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</si>
  <si>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</si>
  <si>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</si>
  <si>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</si>
  <si>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</si>
  <si>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</si>
  <si>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</si>
  <si>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</si>
  <si>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</si>
  <si>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</si>
  <si>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</si>
  <si>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</si>
  <si>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</si>
  <si>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</si>
  <si>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</si>
  <si>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</si>
  <si>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</si>
  <si>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</si>
  <si>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</si>
  <si>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</si>
  <si>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</si>
  <si>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</si>
  <si>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</si>
  <si>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</si>
  <si>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</si>
  <si>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</si>
  <si>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</si>
  <si>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</si>
  <si>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</si>
  <si>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</si>
  <si>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</si>
  <si>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</si>
  <si>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</si>
  <si>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</si>
  <si>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</si>
  <si>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</si>
  <si>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</si>
  <si>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</si>
  <si>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</si>
  <si>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</si>
  <si>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</si>
  <si>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</si>
  <si>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</si>
  <si>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</si>
  <si>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</si>
  <si>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</si>
  <si>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</si>
  <si>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</si>
  <si>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</si>
  <si>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</si>
  <si>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</si>
  <si>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</si>
  <si>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</si>
  <si>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</si>
  <si>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</si>
  <si>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</si>
  <si>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</si>
  <si>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</si>
  <si>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</si>
  <si>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</si>
  <si>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</si>
  <si>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</si>
  <si>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</si>
  <si>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</si>
  <si>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</si>
  <si>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</si>
  <si>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</si>
  <si>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</si>
  <si>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</si>
  <si>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</si>
  <si>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</si>
  <si>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</si>
  <si>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</si>
  <si>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</si>
  <si>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</si>
  <si>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</si>
  <si>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</si>
  <si>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</si>
  <si>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</si>
  <si>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</si>
  <si>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</si>
  <si>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</si>
  <si>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</si>
  <si>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</si>
  <si>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</si>
  <si>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</si>
  <si>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</si>
  <si>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</si>
  <si>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</si>
  <si>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</si>
  <si>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</si>
  <si>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</si>
  <si>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</si>
  <si>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</si>
  <si>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</si>
  <si>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</si>
  <si>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</si>
  <si>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</si>
  <si>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</si>
  <si>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</si>
  <si>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</si>
  <si>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</si>
  <si>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</si>
  <si>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</si>
  <si>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</si>
  <si>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</si>
  <si>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</si>
  <si>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</si>
  <si>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</si>
  <si>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</si>
  <si>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</si>
  <si>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</si>
  <si>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</si>
  <si>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</si>
  <si>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</si>
  <si>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</si>
  <si>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</si>
  <si>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</si>
  <si>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</si>
  <si>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</si>
  <si>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</si>
  <si>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</si>
  <si>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</si>
  <si>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</si>
  <si>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</si>
  <si>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</si>
  <si>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</si>
  <si>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</si>
  <si>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</si>
  <si>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</si>
  <si>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</si>
  <si>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</si>
  <si>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</si>
  <si>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</si>
  <si>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</si>
  <si>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</si>
  <si>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</si>
  <si>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</si>
  <si>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</si>
  <si>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</si>
  <si>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</si>
  <si>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</si>
  <si>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</si>
  <si>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</si>
  <si>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</si>
  <si>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</si>
  <si>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</si>
  <si>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</si>
  <si>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</si>
  <si>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</si>
  <si>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</si>
  <si>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</si>
  <si>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</si>
  <si>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</si>
  <si>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</si>
  <si>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</si>
  <si>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</si>
  <si>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</si>
  <si>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</si>
  <si>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</si>
  <si>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</si>
  <si>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</si>
  <si>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</si>
  <si>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</si>
  <si>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</si>
  <si>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</si>
  <si>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</si>
  <si>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</si>
  <si>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</si>
  <si>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</si>
  <si>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</si>
  <si>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</si>
  <si>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</si>
  <si>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</si>
  <si>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</si>
  <si>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</si>
  <si>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</si>
  <si>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</si>
  <si>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</si>
  <si>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</si>
  <si>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</si>
  <si>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</si>
  <si>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</si>
  <si>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</si>
  <si>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</si>
  <si>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</si>
  <si>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</si>
  <si>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</si>
  <si>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</si>
  <si>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</si>
  <si>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</si>
  <si>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</si>
  <si>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</si>
  <si>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</si>
  <si>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</si>
  <si>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</si>
  <si>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</si>
  <si>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</si>
  <si>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</si>
  <si>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</si>
  <si>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</si>
  <si>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</si>
  <si>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</si>
  <si>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</si>
  <si>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</si>
  <si>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</si>
  <si>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</si>
  <si>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</si>
  <si>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</si>
  <si>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</si>
  <si>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</si>
  <si>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</si>
  <si>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</si>
  <si>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</si>
  <si>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</si>
  <si>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</si>
  <si>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</si>
  <si>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</si>
  <si>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</si>
  <si>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</si>
  <si>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</si>
  <si>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</si>
  <si>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</si>
  <si>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</si>
  <si>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</si>
  <si>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</si>
  <si>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</si>
  <si>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</si>
  <si>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</si>
  <si>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</si>
  <si>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</si>
  <si>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</si>
  <si>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</si>
  <si>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</si>
  <si>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</si>
  <si>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</si>
  <si>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</si>
  <si>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</si>
  <si>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</si>
  <si>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</si>
  <si>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</si>
  <si>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</si>
  <si>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</si>
  <si>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</si>
  <si>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</si>
  <si>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</si>
  <si>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</si>
  <si>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</si>
  <si>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</si>
  <si>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</si>
  <si>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</si>
  <si>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</si>
  <si>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</si>
  <si>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</si>
  <si>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</si>
  <si>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</si>
  <si>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</si>
  <si>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</si>
  <si>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</si>
  <si>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</si>
  <si>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</si>
  <si>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</si>
  <si>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</si>
  <si>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</si>
  <si>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</si>
  <si>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</si>
  <si>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</si>
  <si>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</si>
  <si>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</si>
  <si>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</si>
  <si>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</si>
  <si>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</si>
  <si>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</si>
  <si>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</si>
  <si>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</si>
  <si>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</si>
  <si>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</si>
  <si>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</si>
  <si>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</si>
  <si>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</si>
  <si>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</si>
  <si>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</si>
  <si>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</si>
  <si>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</si>
  <si>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</si>
  <si>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</si>
  <si>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</si>
  <si>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</si>
  <si>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</si>
  <si>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</si>
  <si>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</si>
  <si>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</si>
  <si>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</si>
  <si>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</si>
  <si>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</si>
  <si>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</si>
  <si>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</si>
  <si>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</si>
  <si>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</si>
  <si>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</si>
  <si>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</si>
  <si>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</si>
  <si>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</si>
  <si>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</si>
  <si>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</si>
  <si>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</si>
  <si>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</si>
  <si>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</si>
  <si>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</si>
  <si>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</si>
  <si>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</si>
  <si>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</si>
  <si>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</si>
  <si>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</si>
  <si>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</si>
  <si>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</si>
  <si>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</si>
  <si>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</si>
  <si>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</si>
  <si>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</si>
  <si>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</si>
  <si>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</si>
  <si>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</si>
  <si>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</si>
  <si>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</si>
  <si>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</si>
  <si>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</si>
  <si>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</si>
  <si>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</si>
  <si>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</si>
  <si>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</si>
  <si>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</si>
  <si>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</si>
  <si>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</si>
  <si>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</si>
  <si>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</si>
  <si>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</si>
  <si>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</si>
  <si>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</si>
  <si>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</si>
  <si>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</si>
  <si>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</si>
  <si>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</si>
  <si>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</si>
  <si>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</si>
  <si>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</si>
  <si>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</si>
  <si>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</si>
  <si>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</si>
  <si>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</si>
  <si>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</si>
  <si>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</si>
  <si>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</si>
  <si>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</si>
  <si>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</si>
  <si>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</si>
  <si>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</si>
  <si>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</si>
  <si>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</si>
  <si>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</si>
  <si>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</si>
  <si>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</si>
  <si>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</si>
  <si>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</si>
  <si>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</si>
  <si>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</si>
  <si>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</si>
  <si>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</si>
  <si>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</si>
  <si>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</si>
  <si>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</si>
  <si>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</si>
  <si>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</si>
  <si>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</si>
  <si>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</si>
  <si>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</si>
  <si>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</si>
  <si>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</si>
  <si>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</si>
  <si>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</si>
  <si>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</si>
  <si>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</si>
  <si>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</si>
  <si>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</si>
  <si>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</si>
  <si>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</si>
  <si>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</si>
  <si>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</si>
  <si>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</si>
  <si>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</si>
  <si>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</si>
  <si>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</si>
  <si>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</si>
  <si>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</si>
  <si>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</si>
  <si>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</si>
  <si>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</si>
  <si>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</si>
  <si>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</si>
  <si>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</si>
  <si>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</si>
  <si>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</si>
  <si>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</si>
  <si>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</si>
  <si>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</si>
  <si>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</si>
  <si>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</si>
  <si>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</si>
  <si>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</si>
  <si>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</si>
  <si>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</si>
  <si>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</si>
  <si>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</si>
  <si>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</si>
  <si>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</si>
  <si>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</si>
  <si>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</si>
  <si>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</si>
  <si>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</si>
  <si>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</si>
  <si>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</si>
  <si>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</si>
  <si>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</si>
  <si>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</si>
  <si>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</si>
  <si>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</si>
  <si>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</si>
  <si>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</si>
  <si>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</si>
  <si>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</si>
  <si>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</si>
  <si>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</si>
  <si>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</si>
  <si>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</si>
  <si>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</si>
  <si>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</si>
  <si>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</si>
  <si>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</si>
  <si>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</si>
  <si>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</si>
  <si>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</si>
  <si>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</si>
  <si>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</si>
  <si>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</si>
  <si>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</si>
  <si>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</si>
  <si>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</si>
  <si>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</si>
  <si>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</si>
  <si>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</si>
  <si>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</si>
  <si>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</si>
  <si>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</si>
  <si>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</si>
  <si>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</si>
  <si>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</si>
  <si>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</si>
  <si>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</si>
  <si>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</si>
  <si>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</si>
  <si>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</si>
  <si>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</si>
  <si>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</si>
  <si>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</si>
  <si>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</si>
  <si>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</si>
  <si>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</si>
  <si>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</si>
  <si>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</si>
  <si>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</si>
  <si>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</si>
  <si>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</si>
  <si>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</si>
  <si>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</si>
  <si>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</si>
  <si>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</si>
  <si>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</si>
  <si>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</si>
  <si>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</si>
  <si>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</si>
  <si>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</si>
  <si>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</si>
  <si>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</si>
  <si>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</si>
  <si>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</si>
  <si>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</si>
  <si>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</si>
  <si>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</si>
  <si>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</si>
  <si>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</si>
  <si>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</si>
  <si>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</si>
  <si>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</si>
  <si>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</si>
  <si>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</si>
  <si>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</si>
  <si>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</si>
  <si>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</si>
  <si>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</si>
  <si>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</si>
  <si>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</si>
  <si>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</si>
  <si>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</si>
  <si>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</si>
  <si>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</si>
  <si>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</si>
  <si>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</si>
  <si>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</si>
  <si>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</si>
  <si>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</si>
  <si>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</si>
  <si>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</si>
  <si>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</si>
  <si>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</si>
  <si>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</si>
  <si>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</si>
  <si>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</si>
  <si>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</si>
  <si>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</si>
  <si>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</si>
  <si>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</si>
  <si>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</si>
  <si>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</si>
  <si>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</si>
  <si>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</si>
  <si>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EZ1</t>
  </si>
  <si>
    <t>F174742</t>
  </si>
  <si>
    <t>KJLTVR411520R01</t>
  </si>
  <si>
    <t>LTVR4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</si>
</sst>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42.5</c:v>
                </c:pt>
                <c:pt idx="2">
                  <c:v>34</c:v>
                </c:pt>
                <c:pt idx="3">
                  <c:v>34</c:v>
                </c:pt>
                <c:pt idx="4">
                  <c:v>9</c:v>
                </c:pt>
                <c:pt idx="6">
                  <c:v>22.400000000000002</c:v>
                </c:pt>
                <c:pt idx="7">
                  <c:v>22.1</c:v>
                </c:pt>
                <c:pt idx="8">
                  <c:v>1.6</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9176832"/>
        <c:axId val="79178368"/>
      </c:barChart>
      <c:catAx>
        <c:axId val="7917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9178368"/>
        <c:crossesAt val="0"/>
        <c:auto val="1"/>
        <c:lblAlgn val="ctr"/>
        <c:lblOffset val="100"/>
        <c:tickLblSkip val="1"/>
        <c:tickMarkSkip val="1"/>
        <c:noMultiLvlLbl val="0"/>
      </c:catAx>
      <c:valAx>
        <c:axId val="79178368"/>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91768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31.510626528244753</c:v>
                </c:pt>
              </c:numCache>
            </c:numRef>
          </c:xVal>
          <c:yVal>
            <c:numRef>
              <c:f>'Diagram Data'!$F$25</c:f>
              <c:numCache>
                <c:formatCode>0.00</c:formatCode>
                <c:ptCount val="1"/>
                <c:pt idx="0">
                  <c:v>455.17511794211356</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9201024"/>
        <c:axId val="79202944"/>
      </c:scatterChart>
      <c:valAx>
        <c:axId val="7920102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9202944"/>
        <c:crosses val="autoZero"/>
        <c:crossBetween val="midCat"/>
      </c:valAx>
      <c:valAx>
        <c:axId val="7920294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920102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31.164820327664597</c:v>
                </c:pt>
              </c:numCache>
            </c:numRef>
          </c:xVal>
          <c:yVal>
            <c:numRef>
              <c:f>'Diagram Data'!$F$29</c:f>
              <c:numCache>
                <c:formatCode>0.00</c:formatCode>
                <c:ptCount val="1"/>
                <c:pt idx="0">
                  <c:v>455.17511794211356</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1659008"/>
        <c:axId val="81660928"/>
      </c:scatterChart>
      <c:valAx>
        <c:axId val="8165900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660928"/>
        <c:crosses val="autoZero"/>
        <c:crossBetween val="midCat"/>
      </c:valAx>
      <c:valAx>
        <c:axId val="8166092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65900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1.2182287131010721</c:v>
                </c:pt>
              </c:numCache>
            </c:numRef>
          </c:xVal>
          <c:yVal>
            <c:numRef>
              <c:f>'Diagram Data'!$F$33</c:f>
              <c:numCache>
                <c:formatCode>0.00</c:formatCode>
                <c:ptCount val="1"/>
                <c:pt idx="0">
                  <c:v>65.219101954699525</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1712640"/>
        <c:axId val="81714560"/>
      </c:scatterChart>
      <c:valAx>
        <c:axId val="8171264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714560"/>
        <c:crosses val="autoZero"/>
        <c:crossBetween val="midCat"/>
      </c:valAx>
      <c:valAx>
        <c:axId val="8171456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71264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31.510077201367345</c:v>
                </c:pt>
                <c:pt idx="1">
                  <c:v>31.407512310829194</c:v>
                </c:pt>
                <c:pt idx="2">
                  <c:v>31.154053247257423</c:v>
                </c:pt>
                <c:pt idx="3">
                  <c:v>30.816281795843665</c:v>
                </c:pt>
                <c:pt idx="4">
                  <c:v>30.483321062188789</c:v>
                </c:pt>
                <c:pt idx="5">
                  <c:v>30.2443475113629</c:v>
                </c:pt>
                <c:pt idx="6">
                  <c:v>30.1648119940829</c:v>
                </c:pt>
                <c:pt idx="7">
                  <c:v>30.267472897523298</c:v>
                </c:pt>
                <c:pt idx="8">
                  <c:v>30.524771908956016</c:v>
                </c:pt>
                <c:pt idx="9">
                  <c:v>30.866284925027308</c:v>
                </c:pt>
                <c:pt idx="10">
                  <c:v>31.199150759764002</c:v>
                </c:pt>
                <c:pt idx="11">
                  <c:v>31.434286734160029</c:v>
                </c:pt>
                <c:pt idx="12">
                  <c:v>31.510077201367345</c:v>
                </c:pt>
                <c:pt idx="13">
                  <c:v>31.407512310829198</c:v>
                </c:pt>
                <c:pt idx="14">
                  <c:v>31.154053247257423</c:v>
                </c:pt>
                <c:pt idx="15">
                  <c:v>30.816281795843665</c:v>
                </c:pt>
                <c:pt idx="16">
                  <c:v>30.483321062188786</c:v>
                </c:pt>
                <c:pt idx="17">
                  <c:v>30.244347511362896</c:v>
                </c:pt>
                <c:pt idx="18">
                  <c:v>30.1648119940829</c:v>
                </c:pt>
                <c:pt idx="19">
                  <c:v>30.267472897523298</c:v>
                </c:pt>
                <c:pt idx="20">
                  <c:v>30.524771908956019</c:v>
                </c:pt>
                <c:pt idx="21">
                  <c:v>30.866284925027308</c:v>
                </c:pt>
                <c:pt idx="22">
                  <c:v>31.199150759764002</c:v>
                </c:pt>
                <c:pt idx="23">
                  <c:v>31.434286734160025</c:v>
                </c:pt>
                <c:pt idx="24">
                  <c:v>31.510077201367345</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30.137402794020431</c:v>
                </c:pt>
                <c:pt idx="1">
                  <c:v>30.267471939261316</c:v>
                </c:pt>
                <c:pt idx="2">
                  <c:v>30.498315397043619</c:v>
                </c:pt>
                <c:pt idx="3">
                  <c:v>30.768078849276566</c:v>
                </c:pt>
                <c:pt idx="4">
                  <c:v>31.004479396786909</c:v>
                </c:pt>
                <c:pt idx="5">
                  <c:v>31.144173703778971</c:v>
                </c:pt>
                <c:pt idx="6">
                  <c:v>31.149730793507004</c:v>
                </c:pt>
                <c:pt idx="7">
                  <c:v>31.019661648266116</c:v>
                </c:pt>
                <c:pt idx="8">
                  <c:v>30.788818190483806</c:v>
                </c:pt>
                <c:pt idx="9">
                  <c:v>30.519054738250858</c:v>
                </c:pt>
                <c:pt idx="10">
                  <c:v>30.282654190740523</c:v>
                </c:pt>
                <c:pt idx="11">
                  <c:v>30.142959883748464</c:v>
                </c:pt>
                <c:pt idx="12">
                  <c:v>30.137402794020431</c:v>
                </c:pt>
                <c:pt idx="13">
                  <c:v>30.267471939261316</c:v>
                </c:pt>
                <c:pt idx="14">
                  <c:v>30.498315397043619</c:v>
                </c:pt>
                <c:pt idx="15">
                  <c:v>30.76807884927657</c:v>
                </c:pt>
                <c:pt idx="16">
                  <c:v>31.004479396786909</c:v>
                </c:pt>
                <c:pt idx="17">
                  <c:v>31.144173703778971</c:v>
                </c:pt>
                <c:pt idx="18">
                  <c:v>31.149730793507004</c:v>
                </c:pt>
                <c:pt idx="19">
                  <c:v>31.019661648266116</c:v>
                </c:pt>
                <c:pt idx="20">
                  <c:v>30.788818190483806</c:v>
                </c:pt>
                <c:pt idx="21">
                  <c:v>30.519054738250858</c:v>
                </c:pt>
                <c:pt idx="22">
                  <c:v>30.282654190740523</c:v>
                </c:pt>
                <c:pt idx="23">
                  <c:v>30.14295988374846</c:v>
                </c:pt>
                <c:pt idx="24">
                  <c:v>30.137402794020431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358.83625671908993</c:v>
                </c:pt>
              </c:numCache>
            </c:numRef>
          </c:xVal>
          <c:yVal>
            <c:numRef>
              <c:f>'Payload Input'!$J$89</c:f>
              <c:numCache>
                <c:formatCode>General</c:formatCode>
                <c:ptCount val="1"/>
                <c:pt idx="0">
                  <c:v>31.510626528244753</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83.090059103258824</c:v>
                </c:pt>
              </c:numCache>
            </c:numRef>
          </c:xVal>
          <c:yVal>
            <c:numRef>
              <c:f>'Payload Input'!$K$90</c:f>
              <c:numCache>
                <c:formatCode>General</c:formatCode>
                <c:ptCount val="1"/>
                <c:pt idx="0">
                  <c:v>31.164820327664597</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1.2182287131010721</c:v>
                </c:pt>
              </c:numCache>
            </c:numRef>
          </c:yVal>
          <c:smooth val="1"/>
        </c:ser>
        <c:dLbls>
          <c:showLegendKey val="0"/>
          <c:showVal val="0"/>
          <c:showCatName val="0"/>
          <c:showSerName val="0"/>
          <c:showPercent val="0"/>
          <c:showBubbleSize val="0"/>
        </c:dLbls>
        <c:axId val="81577472"/>
        <c:axId val="81579392"/>
      </c:scatterChart>
      <c:valAx>
        <c:axId val="8157747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1579392"/>
        <c:crosses val="autoZero"/>
        <c:crossBetween val="midCat"/>
      </c:valAx>
      <c:valAx>
        <c:axId val="8157939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157747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2604672"/>
        <c:axId val="92614656"/>
      </c:scatterChart>
      <c:valAx>
        <c:axId val="926046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14656"/>
        <c:crosses val="autoZero"/>
        <c:crossBetween val="midCat"/>
      </c:valAx>
      <c:valAx>
        <c:axId val="926146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046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8" sqref="G8:H8"/>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8" t="s">
        <v>4041</v>
      </c>
      <c r="H4" s="969"/>
    </row>
    <row r="5" spans="1:8" s="83" customFormat="1" ht="15">
      <c r="B5" s="280"/>
      <c r="C5" s="285">
        <f>VLOOKUP('Misc Data'!$B$26,Table1,17)</f>
        <v>0</v>
      </c>
      <c r="F5" s="787" t="s">
        <v>3950</v>
      </c>
      <c r="G5" s="970" t="s">
        <v>4042</v>
      </c>
      <c r="H5" s="974"/>
    </row>
    <row r="6" spans="1:8" s="83" customFormat="1" ht="15">
      <c r="B6" s="280" t="s">
        <v>3936</v>
      </c>
      <c r="C6" s="794" t="str">
        <f>'Misc Data'!C11</f>
        <v>CofG - SI</v>
      </c>
      <c r="F6" s="787" t="s">
        <v>3951</v>
      </c>
      <c r="G6" s="970" t="s">
        <v>4043</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4040</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89.4</v>
      </c>
      <c r="F11" s="785" t="s">
        <v>3955</v>
      </c>
      <c r="G11" s="169"/>
      <c r="H11" s="133" t="str">
        <f>'Wrist Load Analysis'!R14</f>
        <v>OK</v>
      </c>
    </row>
    <row r="12" spans="1:8">
      <c r="B12" s="163" t="str">
        <f>IF(Anal_Robot_Code=46,"--------------------------------",HLOOKUP(Anal_Payload_Code,Unit_text,10))</f>
        <v>J3 Arm/J3 Casing Load (kg)</v>
      </c>
      <c r="C12" s="338">
        <v>24</v>
      </c>
      <c r="F12" s="785" t="s">
        <v>3912</v>
      </c>
      <c r="G12" s="149"/>
      <c r="H12" s="170" t="str">
        <f>'Wrist Load Analysis'!R15</f>
        <v>OK</v>
      </c>
    </row>
    <row r="13" spans="1:8">
      <c r="B13" s="163" t="str">
        <f>HLOOKUP(Anal_Payload_Code,Unit_text,4)</f>
        <v>Payload Center X (m)</v>
      </c>
      <c r="C13" s="338">
        <v>-7.1874530000000006E-2</v>
      </c>
      <c r="F13" s="785" t="s">
        <v>3913</v>
      </c>
      <c r="G13" s="151"/>
      <c r="H13" s="170" t="str">
        <f>'Wrist Load Analysis'!R16</f>
        <v>OK</v>
      </c>
    </row>
    <row r="14" spans="1:8" ht="13.5" thickBot="1">
      <c r="B14" s="163" t="str">
        <f>HLOOKUP(Anal_Payload_Code,Unit_text,5)</f>
        <v>Payload Center Y (m)</v>
      </c>
      <c r="C14" s="965">
        <v>1.937755E-2</v>
      </c>
      <c r="F14" s="786" t="s">
        <v>3914</v>
      </c>
      <c r="G14" s="70"/>
      <c r="H14" s="443" t="str">
        <f>'Wrist Load Analysis'!R17</f>
        <v>OK</v>
      </c>
    </row>
    <row r="15" spans="1:8">
      <c r="B15" s="163" t="str">
        <f>IF(Axis_Type=1,"--------------------------------",HLOOKUP(Anal_Payload_Code,Unit_text,6))</f>
        <v>Payload Center Z (m)</v>
      </c>
      <c r="C15" s="338">
        <v>0.27917439999999999</v>
      </c>
      <c r="F15" s="444"/>
      <c r="G15" s="169"/>
      <c r="H15" s="169"/>
    </row>
    <row r="16" spans="1:8">
      <c r="A16" s="264"/>
      <c r="B16" s="163" t="str">
        <f>HLOOKUP(Anal_Payload_Code,Unit_text,7)</f>
        <v>Payload Inertia Ix (Kg.m^2)</v>
      </c>
      <c r="C16" s="338">
        <v>7.4810090000000002</v>
      </c>
      <c r="E16" s="264"/>
      <c r="F16" s="5"/>
      <c r="G16" s="151"/>
      <c r="H16" s="151"/>
    </row>
    <row r="17" spans="1:8" ht="13.5" thickBot="1">
      <c r="B17" s="265" t="str">
        <f>HLOOKUP(Anal_Payload_Code,Unit_text,8)</f>
        <v>Payload Inertia Iy (Kg.m^2)</v>
      </c>
      <c r="C17" s="339">
        <v>6.0404140000000002</v>
      </c>
      <c r="D17" s="264"/>
      <c r="F17" s="12"/>
      <c r="G17" s="263"/>
      <c r="H17" s="263"/>
    </row>
    <row r="18" spans="1:8" ht="16.149999999999999" customHeight="1" thickBot="1">
      <c r="B18" s="412" t="str">
        <f>IF(Axis_Type=1,"--------------------------------",HLOOKUP(Anal_Payload_Code,Unit_text,9))</f>
        <v>Payload Inertia Iz (Kg.m^2)</v>
      </c>
      <c r="C18" s="548">
        <v>0.72282420000000003</v>
      </c>
      <c r="F18" s="780" t="s">
        <v>3956</v>
      </c>
      <c r="G18" s="168"/>
      <c r="H18" s="167"/>
    </row>
    <row r="19" spans="1:8" ht="16.5" thickBot="1">
      <c r="A19" s="264"/>
      <c r="C19" s="192"/>
      <c r="D19" s="192"/>
      <c r="E19" s="264"/>
      <c r="F19" s="789" t="s">
        <v>4037</v>
      </c>
      <c r="G19" s="171"/>
      <c r="H19" s="325">
        <f>'Wrist Load Analysis'!R20</f>
        <v>42.5</v>
      </c>
    </row>
    <row r="20" spans="1:8" ht="15.75" thickBot="1">
      <c r="A20" s="264"/>
      <c r="B20" s="780" t="s">
        <v>3938</v>
      </c>
      <c r="C20" s="783" t="s">
        <v>3939</v>
      </c>
      <c r="D20" s="784" t="s">
        <v>3940</v>
      </c>
      <c r="E20" s="264"/>
      <c r="F20" s="966" t="s">
        <v>4038</v>
      </c>
      <c r="G20" s="967"/>
      <c r="H20" s="408">
        <f>ROUNDDOWN(Payload_lim_J3,1)</f>
        <v>210.4</v>
      </c>
    </row>
    <row r="21" spans="1:8">
      <c r="A21" s="264"/>
      <c r="B21" s="785" t="s">
        <v>4036</v>
      </c>
      <c r="C21" s="336">
        <f>VLOOKUP('Misc Data'!$B$26,Table1,12)</f>
        <v>210</v>
      </c>
      <c r="D21" s="365">
        <f>'Wrist Load Analysis'!R6</f>
        <v>89.4</v>
      </c>
      <c r="E21" s="264"/>
      <c r="F21" s="790" t="s">
        <v>3957</v>
      </c>
      <c r="G21" s="378"/>
      <c r="H21" s="363"/>
    </row>
    <row r="22" spans="1:8">
      <c r="A22" s="264"/>
      <c r="B22" s="785" t="s">
        <v>3941</v>
      </c>
      <c r="C22" s="336">
        <f>IF(VLOOKUP(Anal_Robot_Code,J3Arm_Load,8)=3,"-",VLOOKUP(Anal_Robot_Code,J3Arm_Load,4))</f>
        <v>25</v>
      </c>
      <c r="D22" s="365">
        <f>Anal_Input_8</f>
        <v>24</v>
      </c>
      <c r="F22" s="785" t="s">
        <v>3958</v>
      </c>
      <c r="G22" s="379"/>
      <c r="H22" s="326">
        <f>'Wrist Load Analysis'!R22</f>
        <v>34</v>
      </c>
    </row>
    <row r="23" spans="1:8">
      <c r="B23" s="785" t="s">
        <v>3942</v>
      </c>
      <c r="C23" s="336">
        <f>VLOOKUP('Misc Data'!$B$26,Table1,6)</f>
        <v>1333</v>
      </c>
      <c r="D23" s="365">
        <f>'Wrist Load Analysis'!R7</f>
        <v>455.17511794211356</v>
      </c>
      <c r="F23" s="785" t="s">
        <v>3959</v>
      </c>
      <c r="G23" s="380"/>
      <c r="H23" s="442">
        <f>'Wrist Load Analysis'!R23</f>
        <v>34</v>
      </c>
    </row>
    <row r="24" spans="1:8" ht="13.5" thickBot="1">
      <c r="A24" s="264"/>
      <c r="B24" s="785" t="s">
        <v>3943</v>
      </c>
      <c r="C24" s="336">
        <f>VLOOKUP('Misc Data'!$B$26,Table1,7)</f>
        <v>1333</v>
      </c>
      <c r="D24" s="365">
        <f>'Wrist Load Analysis'!R8</f>
        <v>455.17511794211356</v>
      </c>
      <c r="E24" s="264"/>
      <c r="F24" s="786" t="s">
        <v>3960</v>
      </c>
      <c r="G24" s="381"/>
      <c r="H24" s="327">
        <f>IF(Axis_Count=1,"-",'Wrist Load Analysis'!R24)</f>
        <v>9</v>
      </c>
    </row>
    <row r="25" spans="1:8">
      <c r="A25" s="264"/>
      <c r="B25" s="785" t="s">
        <v>3944</v>
      </c>
      <c r="C25" s="336">
        <f>VLOOKUP('Misc Data'!$B$26,Table1,8)</f>
        <v>706</v>
      </c>
      <c r="D25" s="365">
        <f>IF(Axis_Count=1,"-",'Wrist Load Analysis'!R9)</f>
        <v>65.219101954699525</v>
      </c>
      <c r="E25" s="264"/>
      <c r="F25" s="791" t="s">
        <v>3961</v>
      </c>
      <c r="G25" s="172"/>
      <c r="H25" s="363"/>
    </row>
    <row r="26" spans="1:8">
      <c r="A26" s="264"/>
      <c r="B26" s="785" t="s">
        <v>3945</v>
      </c>
      <c r="C26" s="336">
        <f>VLOOKUP('Misc Data'!$B$26,Table1,9)</f>
        <v>141.1</v>
      </c>
      <c r="D26" s="365">
        <f>'Wrist Load Analysis'!R10</f>
        <v>31.510626528244753</v>
      </c>
      <c r="E26" s="264"/>
      <c r="F26" s="785" t="s">
        <v>3958</v>
      </c>
      <c r="G26" s="266"/>
      <c r="H26" s="326">
        <f>'Wrist Load Analysis'!R26</f>
        <v>22.400000000000002</v>
      </c>
    </row>
    <row r="27" spans="1:8">
      <c r="A27" s="264"/>
      <c r="B27" s="785" t="s">
        <v>3946</v>
      </c>
      <c r="C27" s="336">
        <f>VLOOKUP('Misc Data'!$B$26,Table1,10)</f>
        <v>141.1</v>
      </c>
      <c r="D27" s="365">
        <f>'Wrist Load Analysis'!R11</f>
        <v>31.164820327664597</v>
      </c>
      <c r="E27" s="264"/>
      <c r="F27" s="785" t="s">
        <v>3959</v>
      </c>
      <c r="G27" s="267"/>
      <c r="H27" s="326">
        <f>'Wrist Load Analysis'!R27</f>
        <v>22.1</v>
      </c>
    </row>
    <row r="28" spans="1:8" ht="13.5" thickBot="1">
      <c r="A28" s="264"/>
      <c r="B28" s="786" t="s">
        <v>3947</v>
      </c>
      <c r="C28" s="544">
        <f>VLOOKUP('Misc Data'!$B$26,Table1,11)</f>
        <v>78.400000000000006</v>
      </c>
      <c r="D28" s="545">
        <f>IF(Axis_Count=1,"-",'Wrist Load Analysis'!R12)</f>
        <v>1.2182287131010721</v>
      </c>
      <c r="E28" s="264"/>
      <c r="F28" s="786" t="s">
        <v>3960</v>
      </c>
      <c r="G28" s="268"/>
      <c r="H28" s="327">
        <f>IF(Axis_Count=1,"-",'Wrist Load Analysis'!R28)</f>
        <v>1.6</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R-2000iB/210F</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F174742</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KJLTVR411520R01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EZ1</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89.4</v>
      </c>
      <c r="G9" s="355"/>
      <c r="H9" s="345"/>
      <c r="I9" s="345"/>
    </row>
    <row r="10" spans="1:12" ht="13.5">
      <c r="A10" s="345"/>
      <c r="B10" s="353"/>
      <c r="C10" s="356">
        <v>3</v>
      </c>
      <c r="D10" s="354" t="s">
        <v>3756</v>
      </c>
      <c r="E10" s="354" t="str">
        <f>IF($E$22=TRUE,"[m]","[cm]")</f>
        <v>[cm]</v>
      </c>
      <c r="F10" s="357">
        <f>IF(Load_Set_2=FALSE,"-",IF($E$22=TRUE,Load_Set_2/100,Load_Set_2))</f>
        <v>-7.1870000000000003</v>
      </c>
      <c r="G10" s="355"/>
      <c r="H10" s="345"/>
      <c r="I10" s="345"/>
    </row>
    <row r="11" spans="1:12" ht="13.5">
      <c r="A11" s="345"/>
      <c r="B11" s="353"/>
      <c r="C11" s="356">
        <v>4</v>
      </c>
      <c r="D11" s="354" t="s">
        <v>3011</v>
      </c>
      <c r="E11" s="354" t="str">
        <f>IF($E$22=TRUE,"[m]","[cm]")</f>
        <v>[cm]</v>
      </c>
      <c r="F11" s="357">
        <f>IF(Load_Set_3=FALSE,"-",IF($E$22=TRUE,Load_Set_3/100,Load_Set_3))</f>
        <v>1.9379999999999999</v>
      </c>
      <c r="G11" s="355"/>
      <c r="H11" s="345"/>
      <c r="I11" s="345"/>
    </row>
    <row r="12" spans="1:12" ht="13.5">
      <c r="A12" s="345"/>
      <c r="B12" s="447"/>
      <c r="C12" s="356">
        <v>5</v>
      </c>
      <c r="D12" s="354" t="s">
        <v>350</v>
      </c>
      <c r="E12" s="354" t="str">
        <f>IF($E$22=TRUE,"[m]","[cm]")</f>
        <v>[cm]</v>
      </c>
      <c r="F12" s="357">
        <f>IF(Load_Set_4=FALSE,"-",IF($E$22=TRUE,Load_Set_4/100,Load_Set_4))</f>
        <v>27.917000000000002</v>
      </c>
      <c r="G12" s="355"/>
      <c r="H12" s="345"/>
      <c r="I12" s="345"/>
    </row>
    <row r="13" spans="1:12" ht="13.5">
      <c r="A13" s="345"/>
      <c r="B13" s="353"/>
      <c r="C13" s="356">
        <v>6</v>
      </c>
      <c r="D13" s="354" t="s">
        <v>1116</v>
      </c>
      <c r="E13" s="354" t="str">
        <f>IF($E$22=TRUE,"[kgm^2]","[kgfcms^2]")</f>
        <v>[kgfcms^2]</v>
      </c>
      <c r="F13" s="357">
        <f>IF(Load_Set_5=FALSE,"-",IF($E$22=TRUE,Load_Set_5*0.098,Load_Set_5))</f>
        <v>76.337000000000003</v>
      </c>
      <c r="G13" s="355"/>
      <c r="H13" s="345"/>
      <c r="I13" s="345"/>
    </row>
    <row r="14" spans="1:12" ht="13.5">
      <c r="A14" s="345"/>
      <c r="B14" s="353"/>
      <c r="C14" s="356">
        <v>7</v>
      </c>
      <c r="D14" s="354" t="s">
        <v>1847</v>
      </c>
      <c r="E14" s="354" t="str">
        <f>IF($E$22=TRUE,"[kgm^2]","[kgfcms^2]")</f>
        <v>[kgfcms^2]</v>
      </c>
      <c r="F14" s="357">
        <f>IF(Load_Set_6=FALSE,"-",IF($E$22=TRUE,Load_Set_6*0.098,Load_Set_6))</f>
        <v>61.637</v>
      </c>
      <c r="G14" s="355"/>
      <c r="H14" s="345"/>
      <c r="I14" s="345"/>
    </row>
    <row r="15" spans="1:12" ht="13.5">
      <c r="A15" s="345"/>
      <c r="B15" s="353"/>
      <c r="C15" s="356">
        <v>8</v>
      </c>
      <c r="D15" s="354" t="s">
        <v>3012</v>
      </c>
      <c r="E15" s="354" t="str">
        <f>IF($E$22=TRUE,"[kgm^2]","[kgfcms^2]")</f>
        <v>[kgfcms^2]</v>
      </c>
      <c r="F15" s="357">
        <f>IF(Load_Set_7=FALSE,"-",IF($E$22=TRUE,Load_Set_7*0.098,Load_Set_7))</f>
        <v>7.3760000000000003</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89.4</v>
      </c>
      <c r="H6" s="625" t="s">
        <v>2962</v>
      </c>
      <c r="I6" s="551">
        <f>IF((Anal_Payload_Code=1),Anal_Input_1,IF((Anal_Payload_Code=2),Anal_Input_1,0))</f>
        <v>89.4</v>
      </c>
      <c r="J6" s="551">
        <f>IF((Anal_Payload_Code=1),Anal_Input_1,IF((Anal_Payload_Code=2),Anal_Input_1,0))</f>
        <v>89.4</v>
      </c>
      <c r="K6" s="551">
        <f>IF((Anal_Payload_Code=1),Anal_Input_1,IF((Anal_Payload_Code=2),Anal_Input_1,0))</f>
        <v>89.4</v>
      </c>
      <c r="L6" s="7"/>
    </row>
    <row r="7" spans="2:18">
      <c r="B7" s="8" t="s">
        <v>2963</v>
      </c>
      <c r="C7" s="626">
        <f t="shared" ref="C7:C12" si="0">IF(Anal_Robot_Code=10105,J7,IF(Anal_Robot_Code=10112,J7,IF(Anal_Robot_Code=10111,K7,I7)))</f>
        <v>-7.1874530000000006E-2</v>
      </c>
      <c r="D7" s="290"/>
      <c r="E7" s="290"/>
      <c r="H7" s="8" t="s">
        <v>2963</v>
      </c>
      <c r="I7" s="551">
        <f>IF((Anal_Payload_Code=1),Anal_Input_2,IF((Anal_Payload_Code=2),Anal_Input_2*0.01,0))</f>
        <v>-7.1874530000000006E-2</v>
      </c>
      <c r="J7" s="552">
        <f>(0.007+L9)*SIN(RADIANS(30))+L7*COS(RADIANS(30))</f>
        <v>8.0842031134933212E-2</v>
      </c>
      <c r="K7" s="552">
        <f>(0.01+L9)*SIN(RADIANS(30))+L7*COS(RADIANS(30))</f>
        <v>8.2342031134933213E-2</v>
      </c>
      <c r="L7" s="439">
        <f>IF((Anal_Payload_Code=1),Anal_Input_2,IF((Anal_Payload_Code=2),Anal_Input_2*0.01,0))</f>
        <v>-7.1874530000000006E-2</v>
      </c>
    </row>
    <row r="8" spans="2:18">
      <c r="B8" s="8" t="s">
        <v>2964</v>
      </c>
      <c r="C8" s="626">
        <f t="shared" si="0"/>
        <v>1.937755E-2</v>
      </c>
      <c r="D8" s="290"/>
      <c r="E8" s="290"/>
      <c r="H8" s="8" t="s">
        <v>2964</v>
      </c>
      <c r="I8" s="551">
        <f>IF((Anal_Payload_Code=1),Anal_Input_3,IF((Anal_Payload_Code=2),Anal_Input_3*0.01,0))</f>
        <v>1.937755E-2</v>
      </c>
      <c r="J8" s="551">
        <f>IF((Anal_Payload_Code=1),Anal_Input_3,IF((Anal_Payload_Code=2),Anal_Input_3*0.01,0))</f>
        <v>1.937755E-2</v>
      </c>
      <c r="K8" s="551">
        <f>IF((Anal_Payload_Code=1),Anal_Input_3,IF((Anal_Payload_Code=2),Anal_Input_3*0.01,0))</f>
        <v>1.937755E-2</v>
      </c>
      <c r="L8" s="7"/>
    </row>
    <row r="9" spans="2:18">
      <c r="B9" s="8" t="s">
        <v>840</v>
      </c>
      <c r="C9" s="626">
        <f t="shared" si="0"/>
        <v>0.27917439999999999</v>
      </c>
      <c r="D9" s="290"/>
      <c r="E9" s="290"/>
      <c r="H9" s="8" t="s">
        <v>840</v>
      </c>
      <c r="I9" s="551">
        <f>IF((Anal_Payload_Code=1),Anal_Input_4,IF((Anal_Payload_Code=2),Anal_Input_4*0.01,0))</f>
        <v>0.27917439999999999</v>
      </c>
      <c r="J9" s="552">
        <f>(0.007+L9)*COS(RADIANS(30))-L7*SIN(RADIANS(30))</f>
        <v>0.28377156531276948</v>
      </c>
      <c r="K9" s="552">
        <f>(0.01+L9)*COS(RADIANS(30))-L7*SIN(RADIANS(30))</f>
        <v>0.28636964152412281</v>
      </c>
      <c r="L9" s="439">
        <f>IF((Anal_Payload_Code=1),Anal_Input_4,IF((Anal_Payload_Code=2),Anal_Input_4*0.01,0))</f>
        <v>0.27917439999999999</v>
      </c>
    </row>
    <row r="10" spans="2:18">
      <c r="B10" s="8" t="s">
        <v>2965</v>
      </c>
      <c r="C10" s="626">
        <f t="shared" si="0"/>
        <v>7.4810090000000002</v>
      </c>
      <c r="D10" s="290"/>
      <c r="E10" s="290"/>
      <c r="H10" s="8" t="s">
        <v>2965</v>
      </c>
      <c r="I10" s="551">
        <f>IF((Anal_Payload_Code=1),Anal_Input_5,IF((Anal_Payload_Code=2),Anal_Input_5*0.098,0))</f>
        <v>7.4810090000000002</v>
      </c>
      <c r="J10" s="552">
        <f>L10*(COS(RADIANS(30)))^2+L12*(SIN(RADIANS(30)))^2</f>
        <v>5.7914628000000015</v>
      </c>
      <c r="K10" s="552">
        <f>L10*(COS(RADIANS(30)))^2+L12*(SIN(RADIANS(30)))^2</f>
        <v>5.7914628000000015</v>
      </c>
      <c r="L10" s="439">
        <f>IF((Anal_Payload_Code=1),Anal_Input_5,IF((Anal_Payload_Code=2),Anal_Input_5*0.098,0))</f>
        <v>7.4810090000000002</v>
      </c>
    </row>
    <row r="11" spans="2:18">
      <c r="B11" s="8" t="s">
        <v>2362</v>
      </c>
      <c r="C11" s="626">
        <f t="shared" si="0"/>
        <v>6.0404140000000002</v>
      </c>
      <c r="D11" s="290"/>
      <c r="E11" s="290"/>
      <c r="H11" s="8" t="s">
        <v>2362</v>
      </c>
      <c r="I11" s="551">
        <f>IF((Anal_Payload_Code=1),Anal_Input_6,IF((Anal_Payload_Code=2),Anal_Input_6*0.098,0))</f>
        <v>6.0404140000000002</v>
      </c>
      <c r="J11" s="551">
        <f>IF((Anal_Payload_Code=1),Anal_Input_6,IF((Anal_Payload_Code=2),Anal_Input_6*0.098,0))</f>
        <v>6.0404140000000002</v>
      </c>
      <c r="K11" s="551">
        <f>IF((Anal_Payload_Code=1),Anal_Input_6,IF((Anal_Payload_Code=2),Anal_Input_6*0.098,0))</f>
        <v>6.0404140000000002</v>
      </c>
      <c r="L11" s="7"/>
    </row>
    <row r="12" spans="2:18">
      <c r="B12" s="8" t="s">
        <v>2363</v>
      </c>
      <c r="C12" s="626">
        <f t="shared" si="0"/>
        <v>0.72282420000000003</v>
      </c>
      <c r="D12" s="290"/>
      <c r="E12" s="290"/>
      <c r="H12" s="8" t="s">
        <v>2363</v>
      </c>
      <c r="I12" s="551">
        <f>IF((Anal_Payload_Code=1),Anal_Input_7,IF((Anal_Payload_Code=2),Anal_Input_7*0.098,0))</f>
        <v>0.72282420000000003</v>
      </c>
      <c r="J12" s="552">
        <f>L12*(COS(RADIANS(30)))^2+L10*(SIN(RADIANS(30)))^2</f>
        <v>2.4123703999999995</v>
      </c>
      <c r="K12" s="552">
        <f>L12*(COS(RADIANS(30)))^2+L10*(SIN(RADIANS(30)))^2</f>
        <v>2.4123703999999995</v>
      </c>
      <c r="L12" s="439">
        <f>IF((Anal_Payload_Code=1),Anal_Input_7,IF((Anal_Payload_Code=2),Anal_Input_7*0.098,0))</f>
        <v>0.72282420000000003</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89.4</v>
      </c>
      <c r="Y18" s="634"/>
    </row>
    <row r="19" spans="2:27" s="625" customFormat="1" ht="15" thickBot="1">
      <c r="B19" s="635"/>
      <c r="C19" s="631" t="s">
        <v>1863</v>
      </c>
      <c r="D19" s="632" t="s">
        <v>1861</v>
      </c>
      <c r="E19" s="633">
        <f t="shared" ref="E19:E24" si="1">C7</f>
        <v>-7.1874530000000006E-2</v>
      </c>
      <c r="Y19" s="634"/>
    </row>
    <row r="20" spans="2:27" s="625" customFormat="1" ht="15" thickBot="1">
      <c r="B20" s="636" t="s">
        <v>3276</v>
      </c>
      <c r="C20" s="631" t="s">
        <v>3277</v>
      </c>
      <c r="D20" s="632" t="s">
        <v>1861</v>
      </c>
      <c r="E20" s="633">
        <f t="shared" si="1"/>
        <v>1.937755E-2</v>
      </c>
      <c r="Y20" s="634"/>
    </row>
    <row r="21" spans="2:27" s="625" customFormat="1" ht="15" thickBot="1">
      <c r="B21" s="637"/>
      <c r="C21" s="631" t="s">
        <v>3278</v>
      </c>
      <c r="D21" s="632" t="s">
        <v>1861</v>
      </c>
      <c r="E21" s="633">
        <f t="shared" si="1"/>
        <v>0.27917439999999999</v>
      </c>
      <c r="Y21" s="634"/>
    </row>
    <row r="22" spans="2:27" s="625" customFormat="1" ht="15" thickBot="1">
      <c r="B22" s="638"/>
      <c r="C22" s="631" t="s">
        <v>3279</v>
      </c>
      <c r="D22" s="632" t="s">
        <v>3280</v>
      </c>
      <c r="E22" s="633">
        <f t="shared" si="1"/>
        <v>7.4810090000000002</v>
      </c>
      <c r="Y22" s="634"/>
      <c r="AA22" s="639"/>
    </row>
    <row r="23" spans="2:27" s="625" customFormat="1" ht="15" thickBot="1">
      <c r="B23" s="636" t="s">
        <v>3281</v>
      </c>
      <c r="C23" s="631" t="s">
        <v>3282</v>
      </c>
      <c r="D23" s="632" t="s">
        <v>3280</v>
      </c>
      <c r="E23" s="633">
        <f t="shared" si="1"/>
        <v>6.0404140000000002</v>
      </c>
      <c r="Y23" s="634"/>
    </row>
    <row r="24" spans="2:27" s="625" customFormat="1" ht="15" thickBot="1">
      <c r="B24" s="640"/>
      <c r="C24" s="631" t="s">
        <v>3283</v>
      </c>
      <c r="D24" s="632" t="s">
        <v>3280</v>
      </c>
      <c r="E24" s="633">
        <f t="shared" si="1"/>
        <v>0.72282420000000003</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455.17511794211356</v>
      </c>
      <c r="F31" s="643">
        <f>SQRT((SQRT($E$19^2+$E$20^2)+SQRT(($E$27+$E$28*COS($P$31*PI()/180))^2+$E$28^2*SIN($P$31*PI()/180)^2))^2+($E$21+$E$26)^2)</f>
        <v>0.51953512982481109</v>
      </c>
      <c r="H31" s="646" t="s">
        <v>2365</v>
      </c>
      <c r="I31" s="646" t="s">
        <v>19</v>
      </c>
      <c r="N31" s="652" t="s">
        <v>20</v>
      </c>
      <c r="O31" s="641"/>
      <c r="P31" s="633">
        <v>90</v>
      </c>
    </row>
    <row r="32" spans="2:27" s="625" customFormat="1" ht="14.25">
      <c r="B32" s="650" t="s">
        <v>21</v>
      </c>
      <c r="C32" s="649" t="s">
        <v>1618</v>
      </c>
      <c r="D32" s="643" t="s">
        <v>22</v>
      </c>
      <c r="E32" s="651">
        <f>$E$18*9.8*F32</f>
        <v>455.17511794211356</v>
      </c>
      <c r="F32" s="643">
        <f>SQRT((SQRT($E$19^2+$E$20^2)+$E$28*SIN($P$31*PI()/180))^2+($E$21+$E$26)^2)</f>
        <v>0.51953512982481109</v>
      </c>
      <c r="H32" s="646" t="s">
        <v>2366</v>
      </c>
      <c r="I32" s="646" t="s">
        <v>2162</v>
      </c>
      <c r="N32" s="646" t="s">
        <v>2163</v>
      </c>
    </row>
    <row r="33" spans="1:28" s="625" customFormat="1">
      <c r="B33" s="653"/>
      <c r="C33" s="649" t="s">
        <v>270</v>
      </c>
      <c r="D33" s="643" t="s">
        <v>2164</v>
      </c>
      <c r="E33" s="651">
        <f>$E$18*9.8*F33</f>
        <v>65.219101954699525</v>
      </c>
      <c r="F33" s="643">
        <f>SQRT($E$19^2+$E$20^2)</f>
        <v>7.4440832254370995E-2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31.510626528244753</v>
      </c>
      <c r="F36" s="643">
        <f>$E$18*$F31^2+MAX($E$22:$E$24)</f>
        <v>31.611566550314247</v>
      </c>
      <c r="G36" s="654" t="s">
        <v>2181</v>
      </c>
      <c r="H36" s="655">
        <f>$J$43</f>
        <v>31.510342784407467</v>
      </c>
      <c r="I36" s="655">
        <f>$J$89</f>
        <v>31.510626528244753</v>
      </c>
      <c r="J36" s="643">
        <f>$N$89</f>
        <v>-83.810672848067725</v>
      </c>
      <c r="K36" s="643">
        <f>$B$89</f>
        <v>358.83625671908993</v>
      </c>
    </row>
    <row r="37" spans="1:28" s="625" customFormat="1" ht="14.25">
      <c r="B37" s="650" t="s">
        <v>2182</v>
      </c>
      <c r="C37" s="649" t="s">
        <v>1618</v>
      </c>
      <c r="D37" s="643" t="s">
        <v>2180</v>
      </c>
      <c r="E37" s="651">
        <f>MAX(H37:I37)</f>
        <v>31.164820327664597</v>
      </c>
      <c r="F37" s="643">
        <f>$E$18*$F32^2+MAX($E$22:$E$23)</f>
        <v>31.611566550314247</v>
      </c>
      <c r="G37" s="655">
        <f>IF(E28=0,SQRT((E18*E19^2-E18*E20^2-E22+E23)^2/4+(E18*E19*E20)^2)+(E18*E19^2+E18*E20^2+E22+E23)/2+E18*(E21+E26)^2,"---")</f>
        <v>31.1648203276646</v>
      </c>
      <c r="H37" s="655">
        <f>$K$44</f>
        <v>31.149730793507004</v>
      </c>
      <c r="I37" s="655">
        <f>$K$90</f>
        <v>31.164820327664597</v>
      </c>
      <c r="J37" s="654" t="s">
        <v>2181</v>
      </c>
      <c r="K37" s="654">
        <f>$B$90</f>
        <v>83.090059103258824</v>
      </c>
    </row>
    <row r="38" spans="1:28" s="625" customFormat="1">
      <c r="B38" s="653"/>
      <c r="C38" s="649" t="s">
        <v>270</v>
      </c>
      <c r="D38" s="643" t="s">
        <v>2180</v>
      </c>
      <c r="E38" s="651">
        <f>G38</f>
        <v>1.2182287131010721</v>
      </c>
      <c r="F38" s="643">
        <f>$E$18*$F33^2+$E$24</f>
        <v>1.2182287131010721</v>
      </c>
      <c r="G38" s="655">
        <f>$E$18*($E$19^2+$E$20^2)+$E$24</f>
        <v>1.2182287131010721</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31.510342784407467</v>
      </c>
    </row>
    <row r="44" spans="1:28" s="625" customFormat="1" ht="14.25">
      <c r="B44" s="629" t="s">
        <v>2905</v>
      </c>
      <c r="I44" s="658" t="s">
        <v>2906</v>
      </c>
      <c r="J44" s="643">
        <f>MAX(J46:J70)</f>
        <v>31.510077201367345</v>
      </c>
      <c r="K44" s="643">
        <f>MAX(K46:K70)</f>
        <v>31.149730793507004</v>
      </c>
      <c r="L44" s="659">
        <f>MAX(L46:L70)</f>
        <v>31.149730793507004</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-7.1874530000000006E-2</v>
      </c>
      <c r="D46" s="643">
        <f t="shared" ref="D46:D70" si="3">$E$19*SIN(B46*PI()/180)+$E$20*COS(B46*PI()/180)</f>
        <v>1.937755E-2</v>
      </c>
      <c r="E46" s="643">
        <f t="shared" ref="E46:E70" si="4">$E$22*COS(B46*PI()/180)^2+$E$23*SIN(B46*PI()/180)^2</f>
        <v>7.4810090000000002</v>
      </c>
      <c r="F46" s="643">
        <f t="shared" ref="F46:F70" si="5">$E$22*SIN(B46*PI()/180)^2+$E$23*COS(B46*PI()/180)^2</f>
        <v>6.0404140000000002</v>
      </c>
      <c r="G46" s="643">
        <f t="shared" ref="G46:G70" si="6">($E$18*(C46+$E$28)^2-$E$18*($E$21+$E$26)^2+$E$24-E46)/2</f>
        <v>-14.965751040202965</v>
      </c>
      <c r="H46" s="643">
        <f t="shared" ref="H46:H70" si="7">$E$18*(C46+$E$28)*($E$21+$E$26)</f>
        <v>-3.3038702744200608</v>
      </c>
      <c r="I46" s="643">
        <f t="shared" ref="I46:I70" si="8">$E$18*((C46+$E$28)^2+($E$21+$E$26)^2)/2+$E$18*(D46+$E$27)^2+($E$24+E46)/2</f>
        <v>16.183979753304037</v>
      </c>
      <c r="J46" s="643">
        <f>SQRT(G46^2+H46^2)+I46</f>
        <v>31.510077201367345</v>
      </c>
      <c r="K46" s="643">
        <f t="shared" ref="K46:K70" si="9">$E$18*((C46+$E$28)^2+($E$21+$E$26)^2)+F46</f>
        <v>30.137402794020431</v>
      </c>
      <c r="L46" s="670">
        <f t="shared" ref="L46:L70" si="10">$E$18*((D46+$E$28)^2+($E$21+$E$26)^2)+E46</f>
        <v>31.149730793507004</v>
      </c>
      <c r="M46" s="671"/>
      <c r="N46" s="638">
        <f>O53*180/PI()-INT(O53*180/PI()/360)*360</f>
        <v>83.090059103258824</v>
      </c>
      <c r="O46" s="643">
        <f>INDEX($B46:$B72,MATCH(K44,K46:K70,0))</f>
        <v>90</v>
      </c>
      <c r="P46" s="643">
        <f>($E$18*$E$19^2-$E$18*$E$20^2+$E$23-$E$22)/2</f>
        <v>-0.50616399974328763</v>
      </c>
      <c r="Q46" s="643">
        <f>-$E$18*$E$19*$E$20</f>
        <v>0.12451205551285412</v>
      </c>
      <c r="R46" s="672" t="s">
        <v>1320</v>
      </c>
      <c r="T46" s="673"/>
      <c r="U46" s="674" t="s">
        <v>1321</v>
      </c>
      <c r="V46" s="675"/>
      <c r="W46" s="675"/>
      <c r="X46" s="675"/>
      <c r="Y46" s="675"/>
      <c r="Z46" s="675"/>
      <c r="AA46" s="675"/>
      <c r="AB46" s="676"/>
    </row>
    <row r="47" spans="1:28" s="625" customFormat="1">
      <c r="A47" s="643">
        <f>A46+1</f>
        <v>1</v>
      </c>
      <c r="B47" s="643">
        <f>B46+15</f>
        <v>15</v>
      </c>
      <c r="C47" s="643">
        <f t="shared" si="2"/>
        <v>-7.4440743766814782E-2</v>
      </c>
      <c r="D47" s="643">
        <f t="shared" si="3"/>
        <v>1.1477877341525486E-4</v>
      </c>
      <c r="E47" s="643">
        <f t="shared" si="4"/>
        <v>7.3845074332824225</v>
      </c>
      <c r="F47" s="643">
        <f t="shared" si="5"/>
        <v>6.1369155667175788</v>
      </c>
      <c r="G47" s="643">
        <f t="shared" si="6"/>
        <v>-14.900716467582521</v>
      </c>
      <c r="H47" s="643">
        <f t="shared" si="7"/>
        <v>-3.421831913709902</v>
      </c>
      <c r="I47" s="643">
        <f t="shared" si="8"/>
        <v>16.118945180683593</v>
      </c>
      <c r="J47" s="643">
        <f t="shared" ref="J47:J70" si="11">SQRT(G47^2+H47^2)+I47</f>
        <v>31.407512310829194</v>
      </c>
      <c r="K47" s="643">
        <f t="shared" si="9"/>
        <v>30.267471939261316</v>
      </c>
      <c r="L47" s="670">
        <f t="shared" si="10"/>
        <v>31.019661648266116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-7.1933943865066755E-2</v>
      </c>
      <c r="D48" s="643">
        <f t="shared" si="3"/>
        <v>-1.9155814436896845E-2</v>
      </c>
      <c r="E48" s="643">
        <f t="shared" si="4"/>
        <v>7.1208602500000007</v>
      </c>
      <c r="F48" s="643">
        <f t="shared" si="5"/>
        <v>6.4005627500000006</v>
      </c>
      <c r="G48" s="643">
        <f t="shared" si="6"/>
        <v>-14.785294738691368</v>
      </c>
      <c r="H48" s="643">
        <f t="shared" si="7"/>
        <v>-3.3066013629250213</v>
      </c>
      <c r="I48" s="643">
        <f t="shared" si="8"/>
        <v>16.003523451792439</v>
      </c>
      <c r="J48" s="643">
        <f t="shared" si="11"/>
        <v>31.154053247257423</v>
      </c>
      <c r="K48" s="643">
        <f t="shared" si="9"/>
        <v>30.498315397043619</v>
      </c>
      <c r="L48" s="670">
        <f t="shared" si="10"/>
        <v>30.788818190483806</v>
      </c>
      <c r="M48" s="671"/>
      <c r="N48" s="643">
        <v>1</v>
      </c>
      <c r="O48" s="643">
        <f>O46*PI()/180</f>
        <v>1.5707963267948966</v>
      </c>
      <c r="P48" s="643">
        <f t="shared" ref="P48:P53" si="14">-2*$P$46*SIN(2*O48)+2*$Q$46*COS(2*O48)+2*$E$18*$E$28*(-$E$19*SIN(O48)-$E$20*COS(O48))</f>
        <v>-0.24902411102570812</v>
      </c>
      <c r="Q48" s="643">
        <f t="shared" ref="Q48:Q53" si="15">-4*$P$46*COS(2*O48)-4*$Q$46*SIN(2*O48)+2*$E$18*$E$28*(-$E$19*COS(O48)+$E$20*SIN(O48))</f>
        <v>-2.0246559989731505</v>
      </c>
      <c r="R48" s="643">
        <f t="shared" ref="R48:R53" si="16">IF(Q48=0,O48,O48-P48/Q48)</f>
        <v>1.4478005629950184</v>
      </c>
      <c r="T48" s="673"/>
      <c r="U48" s="674" t="s">
        <v>2383</v>
      </c>
      <c r="V48" s="675"/>
      <c r="W48" s="675"/>
      <c r="X48" s="675"/>
      <c r="Y48" s="675"/>
      <c r="Z48" s="675"/>
      <c r="AA48" s="675"/>
      <c r="AB48" s="676"/>
    </row>
    <row r="49" spans="1:28" s="625" customFormat="1">
      <c r="A49" s="643">
        <f t="shared" si="12"/>
        <v>3</v>
      </c>
      <c r="B49" s="643">
        <f t="shared" si="13"/>
        <v>45</v>
      </c>
      <c r="C49" s="643">
        <f t="shared" si="2"/>
        <v>-6.4524964565377332E-2</v>
      </c>
      <c r="D49" s="643">
        <f t="shared" si="3"/>
        <v>-3.7120970549814558E-2</v>
      </c>
      <c r="E49" s="643">
        <f t="shared" si="4"/>
        <v>6.7607115000000002</v>
      </c>
      <c r="F49" s="643">
        <f t="shared" si="5"/>
        <v>6.7607115000000002</v>
      </c>
      <c r="G49" s="643">
        <f t="shared" si="6"/>
        <v>-14.650413012574893</v>
      </c>
      <c r="H49" s="643">
        <f t="shared" si="7"/>
        <v>-2.9660313936739189</v>
      </c>
      <c r="I49" s="643">
        <f t="shared" si="8"/>
        <v>15.868641725675966</v>
      </c>
      <c r="J49" s="643">
        <f t="shared" si="11"/>
        <v>30.816281795843665</v>
      </c>
      <c r="K49" s="643">
        <f t="shared" si="9"/>
        <v>30.768078849276566</v>
      </c>
      <c r="L49" s="670">
        <f t="shared" si="10"/>
        <v>30.519054738250858</v>
      </c>
      <c r="M49" s="671"/>
      <c r="N49" s="643">
        <f>N48+1</f>
        <v>2</v>
      </c>
      <c r="O49" s="643">
        <f>R48</f>
        <v>1.4478005629950184</v>
      </c>
      <c r="P49" s="643">
        <f t="shared" si="14"/>
        <v>4.9926390735288984E-3</v>
      </c>
      <c r="Q49" s="643">
        <f t="shared" si="15"/>
        <v>-2.0849902253696224</v>
      </c>
      <c r="R49" s="643">
        <f t="shared" si="16"/>
        <v>1.4501951253353016</v>
      </c>
      <c r="T49" s="673"/>
      <c r="U49" s="674" t="s">
        <v>2384</v>
      </c>
      <c r="V49" s="675"/>
      <c r="W49" s="675"/>
      <c r="X49" s="675" t="s">
        <v>2385</v>
      </c>
      <c r="Y49" s="675"/>
      <c r="Z49" s="675"/>
      <c r="AA49" s="675"/>
      <c r="AB49" s="676"/>
    </row>
    <row r="50" spans="1:28" s="625" customFormat="1">
      <c r="A50" s="643">
        <f t="shared" si="12"/>
        <v>4</v>
      </c>
      <c r="B50" s="643">
        <f t="shared" si="13"/>
        <v>60</v>
      </c>
      <c r="C50" s="643">
        <f t="shared" si="2"/>
        <v>-5.2718715563103161E-2</v>
      </c>
      <c r="D50" s="643">
        <f t="shared" si="3"/>
        <v>-5.2556393865066747E-2</v>
      </c>
      <c r="E50" s="643">
        <f t="shared" si="4"/>
        <v>6.4005627500000006</v>
      </c>
      <c r="F50" s="643">
        <f t="shared" si="5"/>
        <v>7.1208602499999998</v>
      </c>
      <c r="G50" s="643">
        <f t="shared" si="6"/>
        <v>-14.532212738819723</v>
      </c>
      <c r="H50" s="643">
        <f t="shared" si="7"/>
        <v>-2.4233312865425729</v>
      </c>
      <c r="I50" s="643">
        <f t="shared" si="8"/>
        <v>15.750441451920798</v>
      </c>
      <c r="J50" s="643">
        <f t="shared" si="11"/>
        <v>30.483321062188789</v>
      </c>
      <c r="K50" s="643">
        <f t="shared" si="9"/>
        <v>31.004479396786909</v>
      </c>
      <c r="L50" s="670">
        <f t="shared" si="10"/>
        <v>30.282654190740523</v>
      </c>
      <c r="M50" s="671"/>
      <c r="N50" s="643">
        <f>N49+1</f>
        <v>3</v>
      </c>
      <c r="O50" s="643">
        <f>R49</f>
        <v>1.4501951253353016</v>
      </c>
      <c r="P50" s="643">
        <f t="shared" si="14"/>
        <v>-3.8169828270318007E-8</v>
      </c>
      <c r="Q50" s="643">
        <f t="shared" si="15"/>
        <v>-2.0850141356035303</v>
      </c>
      <c r="R50" s="643">
        <f t="shared" si="16"/>
        <v>1.4501951070285537</v>
      </c>
      <c r="T50" s="673"/>
      <c r="U50" s="674" t="s">
        <v>2386</v>
      </c>
      <c r="V50" s="675"/>
      <c r="W50" s="675"/>
      <c r="X50" s="675"/>
      <c r="Y50" s="675"/>
      <c r="Z50" s="675" t="s">
        <v>2387</v>
      </c>
      <c r="AA50" s="675"/>
      <c r="AB50" s="676"/>
    </row>
    <row r="51" spans="1:28" s="625" customFormat="1">
      <c r="A51" s="643">
        <f t="shared" si="12"/>
        <v>5</v>
      </c>
      <c r="B51" s="643">
        <f t="shared" si="13"/>
        <v>75</v>
      </c>
      <c r="C51" s="643">
        <f t="shared" si="2"/>
        <v>-3.7319773217000224E-2</v>
      </c>
      <c r="D51" s="643">
        <f t="shared" si="3"/>
        <v>-6.4410185791962088E-2</v>
      </c>
      <c r="E51" s="643">
        <f t="shared" si="4"/>
        <v>6.1369155667175788</v>
      </c>
      <c r="F51" s="643">
        <f t="shared" si="5"/>
        <v>7.3845074332824225</v>
      </c>
      <c r="G51" s="643">
        <f t="shared" si="6"/>
        <v>-14.462365585323694</v>
      </c>
      <c r="H51" s="643">
        <f t="shared" si="7"/>
        <v>-1.7154851569776521</v>
      </c>
      <c r="I51" s="643">
        <f t="shared" si="8"/>
        <v>15.680594298424767</v>
      </c>
      <c r="J51" s="643">
        <f t="shared" si="11"/>
        <v>30.2443475113629</v>
      </c>
      <c r="K51" s="643">
        <f t="shared" si="9"/>
        <v>31.144173703778971</v>
      </c>
      <c r="L51" s="670">
        <f t="shared" si="10"/>
        <v>30.142959883748464</v>
      </c>
      <c r="M51" s="671"/>
      <c r="N51" s="643">
        <f>N50+1</f>
        <v>4</v>
      </c>
      <c r="O51" s="643">
        <f>R50</f>
        <v>1.4501951070285537</v>
      </c>
      <c r="P51" s="643">
        <f t="shared" si="14"/>
        <v>-1.3877787807814457E-16</v>
      </c>
      <c r="Q51" s="643">
        <f t="shared" si="15"/>
        <v>-2.0850141356035317</v>
      </c>
      <c r="R51" s="643">
        <f t="shared" si="16"/>
        <v>1.4501951070285537</v>
      </c>
      <c r="T51" s="679"/>
      <c r="U51" s="680" t="s">
        <v>2388</v>
      </c>
      <c r="V51" s="681"/>
      <c r="W51" s="681"/>
      <c r="X51" s="681"/>
      <c r="Y51" s="681"/>
      <c r="Z51" s="681"/>
      <c r="AA51" s="681"/>
      <c r="AB51" s="682"/>
    </row>
    <row r="52" spans="1:28" s="625" customFormat="1">
      <c r="A52" s="643">
        <f t="shared" si="12"/>
        <v>6</v>
      </c>
      <c r="B52" s="643">
        <f t="shared" si="13"/>
        <v>90</v>
      </c>
      <c r="C52" s="643">
        <f t="shared" si="2"/>
        <v>-1.9377550000000004E-2</v>
      </c>
      <c r="D52" s="643">
        <f t="shared" si="3"/>
        <v>-7.1874530000000006E-2</v>
      </c>
      <c r="E52" s="643">
        <f t="shared" si="4"/>
        <v>6.0404140000000002</v>
      </c>
      <c r="F52" s="643">
        <f t="shared" si="5"/>
        <v>7.4810090000000002</v>
      </c>
      <c r="G52" s="643">
        <f t="shared" si="6"/>
        <v>-14.459587040459677</v>
      </c>
      <c r="H52" s="643">
        <f t="shared" si="7"/>
        <v>-0.89073154893796813</v>
      </c>
      <c r="I52" s="643">
        <f t="shared" si="8"/>
        <v>15.677815753560751</v>
      </c>
      <c r="J52" s="643">
        <f t="shared" si="11"/>
        <v>30.1648119940829</v>
      </c>
      <c r="K52" s="643">
        <f t="shared" si="9"/>
        <v>31.149730793507004</v>
      </c>
      <c r="L52" s="670">
        <f t="shared" si="10"/>
        <v>30.137402794020431</v>
      </c>
      <c r="M52" s="671"/>
      <c r="N52" s="643">
        <f>N51+1</f>
        <v>5</v>
      </c>
      <c r="O52" s="643">
        <f>R51</f>
        <v>1.4501951070285537</v>
      </c>
      <c r="P52" s="643">
        <f t="shared" si="14"/>
        <v>-1.3877787807814457E-16</v>
      </c>
      <c r="Q52" s="643">
        <f t="shared" si="15"/>
        <v>-2.0850141356035317</v>
      </c>
      <c r="R52" s="643">
        <f t="shared" si="16"/>
        <v>1.4501951070285537</v>
      </c>
      <c r="T52" s="666" t="s">
        <v>2055</v>
      </c>
      <c r="U52" s="667" t="s">
        <v>2056</v>
      </c>
      <c r="V52" s="668"/>
      <c r="W52" s="668"/>
      <c r="X52" s="668"/>
      <c r="Y52" s="668"/>
      <c r="Z52" s="668"/>
      <c r="AA52" s="668"/>
      <c r="AB52" s="669"/>
    </row>
    <row r="53" spans="1:28" s="625" customFormat="1">
      <c r="A53" s="643">
        <f t="shared" si="12"/>
        <v>7</v>
      </c>
      <c r="B53" s="643">
        <f t="shared" si="13"/>
        <v>105</v>
      </c>
      <c r="C53" s="643">
        <f t="shared" si="2"/>
        <v>-1.1477877341524792E-4</v>
      </c>
      <c r="D53" s="643">
        <f t="shared" si="3"/>
        <v>-7.4440743766814782E-2</v>
      </c>
      <c r="E53" s="643">
        <f t="shared" si="4"/>
        <v>6.1369155667175788</v>
      </c>
      <c r="F53" s="643">
        <f t="shared" si="5"/>
        <v>7.3845074332824225</v>
      </c>
      <c r="G53" s="643">
        <f t="shared" si="6"/>
        <v>-14.524621613080122</v>
      </c>
      <c r="H53" s="643">
        <f t="shared" si="7"/>
        <v>-5.2760578416447814E-3</v>
      </c>
      <c r="I53" s="643">
        <f t="shared" si="8"/>
        <v>15.742850326181193</v>
      </c>
      <c r="J53" s="643">
        <f t="shared" si="11"/>
        <v>30.267472897523298</v>
      </c>
      <c r="K53" s="643">
        <f t="shared" si="9"/>
        <v>31.019661648266116</v>
      </c>
      <c r="L53" s="670">
        <f t="shared" si="10"/>
        <v>30.267471939261316</v>
      </c>
      <c r="M53" s="671"/>
      <c r="N53" s="643">
        <f>N52+1</f>
        <v>6</v>
      </c>
      <c r="O53" s="643">
        <f>R52</f>
        <v>1.4501951070285537</v>
      </c>
      <c r="P53" s="643">
        <f t="shared" si="14"/>
        <v>-1.3877787807814457E-16</v>
      </c>
      <c r="Q53" s="643">
        <f t="shared" si="15"/>
        <v>-2.0850141356035317</v>
      </c>
      <c r="R53" s="643">
        <f t="shared" si="16"/>
        <v>1.4501951070285537</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1.9155814436896838E-2</v>
      </c>
      <c r="D54" s="643">
        <f t="shared" si="3"/>
        <v>-7.1933943865066755E-2</v>
      </c>
      <c r="E54" s="643">
        <f t="shared" si="4"/>
        <v>6.4005627499999989</v>
      </c>
      <c r="F54" s="643">
        <f t="shared" si="5"/>
        <v>7.1208602499999998</v>
      </c>
      <c r="G54" s="643">
        <f t="shared" si="6"/>
        <v>-14.640043341971273</v>
      </c>
      <c r="H54" s="643">
        <f t="shared" si="7"/>
        <v>0.88053898787748752</v>
      </c>
      <c r="I54" s="643">
        <f t="shared" si="8"/>
        <v>15.858272055072344</v>
      </c>
      <c r="J54" s="643">
        <f t="shared" si="11"/>
        <v>30.524771908956016</v>
      </c>
      <c r="K54" s="643">
        <f t="shared" si="9"/>
        <v>30.788818190483806</v>
      </c>
      <c r="L54" s="670">
        <f t="shared" si="10"/>
        <v>30.498315397043619</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3.7120970549814558E-2</v>
      </c>
      <c r="D55" s="643">
        <f t="shared" si="3"/>
        <v>-6.4524964565377332E-2</v>
      </c>
      <c r="E55" s="643">
        <f t="shared" si="4"/>
        <v>6.7607115000000002</v>
      </c>
      <c r="F55" s="643">
        <f t="shared" si="5"/>
        <v>6.7607115000000002</v>
      </c>
      <c r="G55" s="643">
        <f t="shared" si="6"/>
        <v>-14.774925068087747</v>
      </c>
      <c r="H55" s="643">
        <f t="shared" si="7"/>
        <v>1.7063467567322501</v>
      </c>
      <c r="I55" s="643">
        <f t="shared" si="8"/>
        <v>15.99315378118882</v>
      </c>
      <c r="J55" s="643">
        <f t="shared" si="11"/>
        <v>30.866284925027308</v>
      </c>
      <c r="K55" s="643">
        <f t="shared" si="9"/>
        <v>30.519054738250858</v>
      </c>
      <c r="L55" s="670">
        <f t="shared" si="10"/>
        <v>30.768078849276566</v>
      </c>
      <c r="M55" s="671"/>
      <c r="T55" s="673"/>
      <c r="U55" s="674" t="s">
        <v>2062</v>
      </c>
      <c r="V55" s="675"/>
      <c r="W55" s="675"/>
      <c r="X55" s="675"/>
      <c r="Y55" s="675"/>
      <c r="Z55" s="675"/>
      <c r="AA55" s="675"/>
      <c r="AB55" s="676"/>
    </row>
    <row r="56" spans="1:28" s="625" customFormat="1">
      <c r="A56" s="643">
        <f t="shared" si="12"/>
        <v>10</v>
      </c>
      <c r="B56" s="643">
        <f t="shared" si="13"/>
        <v>150</v>
      </c>
      <c r="C56" s="643">
        <f t="shared" si="2"/>
        <v>5.2556393865066761E-2</v>
      </c>
      <c r="D56" s="643">
        <f t="shared" si="3"/>
        <v>-5.2718715563103147E-2</v>
      </c>
      <c r="E56" s="643">
        <f t="shared" si="4"/>
        <v>7.1208602500000007</v>
      </c>
      <c r="F56" s="643">
        <f t="shared" si="5"/>
        <v>6.4005627500000006</v>
      </c>
      <c r="G56" s="643">
        <f t="shared" si="6"/>
        <v>-14.893125341842918</v>
      </c>
      <c r="H56" s="643">
        <f t="shared" si="7"/>
        <v>2.415869813987054</v>
      </c>
      <c r="I56" s="643">
        <f t="shared" si="8"/>
        <v>16.111354054943991</v>
      </c>
      <c r="J56" s="643">
        <f>SQRT(G56^2+H56^2)+I56</f>
        <v>31.199150759764002</v>
      </c>
      <c r="K56" s="643">
        <f t="shared" si="9"/>
        <v>30.282654190740523</v>
      </c>
      <c r="L56" s="670">
        <f t="shared" si="10"/>
        <v>31.004479396786909</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6.441018579196206E-2</v>
      </c>
      <c r="D57" s="643">
        <f t="shared" si="3"/>
        <v>-3.7319773217000238E-2</v>
      </c>
      <c r="E57" s="643">
        <f t="shared" si="4"/>
        <v>7.3845074332824217</v>
      </c>
      <c r="F57" s="643">
        <f t="shared" si="5"/>
        <v>6.1369155667175788</v>
      </c>
      <c r="G57" s="643">
        <f t="shared" si="6"/>
        <v>-14.962972495338949</v>
      </c>
      <c r="H57" s="643">
        <f t="shared" si="7"/>
        <v>2.9607553358322729</v>
      </c>
      <c r="I57" s="643">
        <f t="shared" si="8"/>
        <v>16.181201208440022</v>
      </c>
      <c r="J57" s="643">
        <f t="shared" si="11"/>
        <v>31.434286734160029</v>
      </c>
      <c r="K57" s="643">
        <f t="shared" si="9"/>
        <v>30.142959883748464</v>
      </c>
      <c r="L57" s="670">
        <f t="shared" si="10"/>
        <v>31.144173703778971</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7.1874530000000006E-2</v>
      </c>
      <c r="D58" s="643">
        <f t="shared" si="3"/>
        <v>-1.9377550000000011E-2</v>
      </c>
      <c r="E58" s="643">
        <f t="shared" si="4"/>
        <v>7.4810090000000002</v>
      </c>
      <c r="F58" s="643">
        <f t="shared" si="5"/>
        <v>6.0404140000000002</v>
      </c>
      <c r="G58" s="643">
        <f t="shared" si="6"/>
        <v>-14.965751040202965</v>
      </c>
      <c r="H58" s="643">
        <f t="shared" si="7"/>
        <v>3.3038702744200608</v>
      </c>
      <c r="I58" s="643">
        <f t="shared" si="8"/>
        <v>16.183979753304037</v>
      </c>
      <c r="J58" s="643">
        <f t="shared" si="11"/>
        <v>31.510077201367345</v>
      </c>
      <c r="K58" s="643">
        <f t="shared" si="9"/>
        <v>30.137402794020431</v>
      </c>
      <c r="L58" s="670">
        <f t="shared" si="10"/>
        <v>31.149730793507004</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7.4440743766814796E-2</v>
      </c>
      <c r="D59" s="643">
        <f t="shared" si="3"/>
        <v>-1.1477877341528261E-4</v>
      </c>
      <c r="E59" s="643">
        <f t="shared" si="4"/>
        <v>7.3845074332824234</v>
      </c>
      <c r="F59" s="643">
        <f t="shared" si="5"/>
        <v>6.1369155667175788</v>
      </c>
      <c r="G59" s="643">
        <f t="shared" si="6"/>
        <v>-14.900716467582521</v>
      </c>
      <c r="H59" s="643">
        <f t="shared" si="7"/>
        <v>3.4218319137099025</v>
      </c>
      <c r="I59" s="643">
        <f t="shared" si="8"/>
        <v>16.118945180683596</v>
      </c>
      <c r="J59" s="643">
        <f t="shared" si="11"/>
        <v>31.407512310829198</v>
      </c>
      <c r="K59" s="643">
        <f t="shared" si="9"/>
        <v>30.267471939261316</v>
      </c>
      <c r="L59" s="670">
        <f t="shared" si="10"/>
        <v>31.019661648266116</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7.1933943865066755E-2</v>
      </c>
      <c r="D60" s="643">
        <f t="shared" si="3"/>
        <v>1.9155814436896863E-2</v>
      </c>
      <c r="E60" s="643">
        <f t="shared" si="4"/>
        <v>7.1208602499999998</v>
      </c>
      <c r="F60" s="643">
        <f t="shared" si="5"/>
        <v>6.4005627500000006</v>
      </c>
      <c r="G60" s="643">
        <f t="shared" si="6"/>
        <v>-14.785294738691368</v>
      </c>
      <c r="H60" s="643">
        <f t="shared" si="7"/>
        <v>3.3066013629250213</v>
      </c>
      <c r="I60" s="643">
        <f t="shared" si="8"/>
        <v>16.003523451792439</v>
      </c>
      <c r="J60" s="643">
        <f t="shared" si="11"/>
        <v>31.154053247257423</v>
      </c>
      <c r="K60" s="643">
        <f t="shared" si="9"/>
        <v>30.498315397043619</v>
      </c>
      <c r="L60" s="670">
        <f t="shared" si="10"/>
        <v>30.788818190483806</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6.4524964565377346E-2</v>
      </c>
      <c r="D61" s="643">
        <f t="shared" si="3"/>
        <v>3.7120970549814558E-2</v>
      </c>
      <c r="E61" s="643">
        <f t="shared" si="4"/>
        <v>6.7607115000000011</v>
      </c>
      <c r="F61" s="643">
        <f t="shared" si="5"/>
        <v>6.7607115000000011</v>
      </c>
      <c r="G61" s="643">
        <f t="shared" si="6"/>
        <v>-14.650413012574894</v>
      </c>
      <c r="H61" s="643">
        <f t="shared" si="7"/>
        <v>2.9660313936739193</v>
      </c>
      <c r="I61" s="643">
        <f t="shared" si="8"/>
        <v>15.868641725675966</v>
      </c>
      <c r="J61" s="643">
        <f t="shared" si="11"/>
        <v>30.816281795843665</v>
      </c>
      <c r="K61" s="643">
        <f t="shared" si="9"/>
        <v>30.76807884927657</v>
      </c>
      <c r="L61" s="670">
        <f t="shared" si="10"/>
        <v>30.519054738250858</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5.2718715563103181E-2</v>
      </c>
      <c r="D62" s="643">
        <f t="shared" si="3"/>
        <v>5.2556393865066726E-2</v>
      </c>
      <c r="E62" s="643">
        <f t="shared" si="4"/>
        <v>6.4005627500000006</v>
      </c>
      <c r="F62" s="643">
        <f t="shared" si="5"/>
        <v>7.1208602499999998</v>
      </c>
      <c r="G62" s="643">
        <f t="shared" si="6"/>
        <v>-14.532212738819723</v>
      </c>
      <c r="H62" s="643">
        <f t="shared" si="7"/>
        <v>2.4233312865425738</v>
      </c>
      <c r="I62" s="643">
        <f t="shared" si="8"/>
        <v>15.750441451920796</v>
      </c>
      <c r="J62" s="643">
        <f t="shared" si="11"/>
        <v>30.483321062188786</v>
      </c>
      <c r="K62" s="643">
        <f t="shared" si="9"/>
        <v>31.004479396786909</v>
      </c>
      <c r="L62" s="670">
        <f t="shared" si="10"/>
        <v>30.282654190740523</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3.731977321700021E-2</v>
      </c>
      <c r="D63" s="643">
        <f t="shared" si="3"/>
        <v>6.4410185791962088E-2</v>
      </c>
      <c r="E63" s="643">
        <f t="shared" si="4"/>
        <v>6.1369155667175779</v>
      </c>
      <c r="F63" s="643">
        <f t="shared" si="5"/>
        <v>7.3845074332824225</v>
      </c>
      <c r="G63" s="643">
        <f t="shared" si="6"/>
        <v>-14.462365585323692</v>
      </c>
      <c r="H63" s="643">
        <f t="shared" si="7"/>
        <v>1.7154851569776515</v>
      </c>
      <c r="I63" s="643">
        <f t="shared" si="8"/>
        <v>15.680594298424767</v>
      </c>
      <c r="J63" s="643">
        <f t="shared" si="11"/>
        <v>30.244347511362896</v>
      </c>
      <c r="K63" s="643">
        <f t="shared" si="9"/>
        <v>31.144173703778971</v>
      </c>
      <c r="L63" s="670">
        <f t="shared" si="10"/>
        <v>30.14295988374846</v>
      </c>
      <c r="M63" s="671"/>
      <c r="N63" s="638">
        <f>O70*180/PI()-INT(O70*180/PI()/360)*360</f>
        <v>358.83625671908993</v>
      </c>
      <c r="O63" s="638">
        <f>INDEX($B73:$B85,MATCH($J$43,$J$73:$J$85,0))</f>
        <v>-2</v>
      </c>
      <c r="P63" s="653"/>
      <c r="Q63" s="687"/>
      <c r="R63" s="687"/>
      <c r="S63" s="687"/>
      <c r="V63" s="687"/>
      <c r="W63" s="687"/>
      <c r="X63" s="687"/>
      <c r="Y63" s="687"/>
      <c r="Z63" s="687"/>
      <c r="AA63" s="687"/>
      <c r="AB63" s="688"/>
    </row>
    <row r="64" spans="1:28" s="625" customFormat="1">
      <c r="A64" s="643">
        <f t="shared" si="12"/>
        <v>18</v>
      </c>
      <c r="B64" s="643">
        <f t="shared" si="13"/>
        <v>270</v>
      </c>
      <c r="C64" s="643">
        <f t="shared" si="2"/>
        <v>1.9377550000000014E-2</v>
      </c>
      <c r="D64" s="643">
        <f t="shared" si="3"/>
        <v>7.1874530000000006E-2</v>
      </c>
      <c r="E64" s="643">
        <f t="shared" si="4"/>
        <v>6.0404140000000002</v>
      </c>
      <c r="F64" s="643">
        <f t="shared" si="5"/>
        <v>7.4810090000000002</v>
      </c>
      <c r="G64" s="643">
        <f t="shared" si="6"/>
        <v>-14.459587040459677</v>
      </c>
      <c r="H64" s="643">
        <f t="shared" si="7"/>
        <v>0.89073154893796858</v>
      </c>
      <c r="I64" s="643">
        <f t="shared" si="8"/>
        <v>15.677815753560751</v>
      </c>
      <c r="J64" s="643">
        <f t="shared" si="11"/>
        <v>30.1648119940829</v>
      </c>
      <c r="K64" s="643">
        <f t="shared" si="9"/>
        <v>31.149730793507004</v>
      </c>
      <c r="L64" s="670">
        <f t="shared" si="10"/>
        <v>30.137402794020431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1.1477877341522363E-4</v>
      </c>
      <c r="D65" s="643">
        <f t="shared" si="3"/>
        <v>7.4440743766814782E-2</v>
      </c>
      <c r="E65" s="643">
        <f t="shared" si="4"/>
        <v>6.1369155667175788</v>
      </c>
      <c r="F65" s="643">
        <f t="shared" si="5"/>
        <v>7.3845074332824217</v>
      </c>
      <c r="G65" s="643">
        <f t="shared" si="6"/>
        <v>-14.524621613080122</v>
      </c>
      <c r="H65" s="643">
        <f t="shared" si="7"/>
        <v>5.2760578416436651E-3</v>
      </c>
      <c r="I65" s="643">
        <f t="shared" si="8"/>
        <v>15.742850326181193</v>
      </c>
      <c r="J65" s="643">
        <f t="shared" si="11"/>
        <v>30.267472897523298</v>
      </c>
      <c r="K65" s="643">
        <f t="shared" si="9"/>
        <v>31.019661648266116</v>
      </c>
      <c r="L65" s="670">
        <f t="shared" si="10"/>
        <v>30.267471939261316</v>
      </c>
      <c r="M65" s="671"/>
      <c r="N65" s="643">
        <v>1</v>
      </c>
      <c r="O65" s="643">
        <f>O63*PI()/180</f>
        <v>-3.4906585039886591E-2</v>
      </c>
      <c r="P65" s="643">
        <f t="shared" ref="P65:P70" si="17">SIN(O65)</f>
        <v>-3.4899496702500969E-2</v>
      </c>
      <c r="Q65" s="643">
        <f t="shared" ref="Q65:Q70" si="18">COS(O65)</f>
        <v>0.99939082701909576</v>
      </c>
      <c r="R65" s="643">
        <f t="shared" ref="R65:R70" si="19">($E$18*($E$19*Q65-$E$20*P65+$E$28)^2-$E$18*($E$21+$E$26)^2+$E$24-$E$22*Q65^2-$E$23*P65^2)/2</f>
        <v>-14.96947730613674</v>
      </c>
      <c r="S65" s="643">
        <f t="shared" ref="S65:S70" si="20">$E$18*($E$19*Q65-$E$20*P65+$E$28)*(-$E$19*P65-$E$20*Q65)-($E$23-$E$22)*P65*Q65</f>
        <v>8.8900534645264789E-2</v>
      </c>
      <c r="T65" s="643">
        <f t="shared" ref="T65:T70" si="21">$E$18*(-$E$19*P65-$E$20*Q65)^2+$E$18*($E$19*Q65-$E$20*P65+$E$28)*(-$E$19*Q65+$E$20*P65)-($E$23-$E$22)*(Q65^2-P65^2)</f>
        <v>1.0272330632216722</v>
      </c>
      <c r="U65" s="643">
        <f t="shared" ref="U65:U70" si="22">$E$18*($E$19*Q65-$E$20*P65+$E$28)*($E$21+$E$26)</f>
        <v>-3.2707715631614973</v>
      </c>
      <c r="V65" s="643">
        <f t="shared" ref="V65:V70" si="23">$E$18*($E$21+$E$26)*(-$E$19*P65-$E$20*Q65)</f>
        <v>-1.0054923490927299</v>
      </c>
      <c r="W65" s="643">
        <f t="shared" ref="W65:W70" si="24">$E$18*($E$21+$E$26)*(-$E$19*Q65+$E$20*P65)</f>
        <v>3.2707715631614973</v>
      </c>
      <c r="X65" s="643">
        <f t="shared" ref="X65:X70" si="25">S65+2*($E$23-$E$22)*P65*Q65+2*$E$18*($E$19*P65+$E$20*Q65+$E$27)*($E$19*Q65-$E$20*P65)</f>
        <v>-8.8900534645264762E-2</v>
      </c>
      <c r="Y65" s="643">
        <f t="shared" ref="Y65:Y70" si="26">T65+2*($E$23-$E$22)*(Q65^2-P65^2)+2*$E$18*($E$19*Q65-$E$20*P65)^2+2*$E$18*($E$19*P65+$E$20*Q65+$E$27)*(-$E$19*P65-$E$20*Q65)</f>
        <v>-1.0272330632216722</v>
      </c>
      <c r="Z65" s="643">
        <f t="shared" ref="Z65:Z70" si="27">IF(OR(R65,U65),(R65^2+U65^2)^(-0.5)*(R65*S65+U65*V65)+X65,0)</f>
        <v>3.8880426067965407E-2</v>
      </c>
      <c r="AA65" s="643">
        <f t="shared" ref="AA65:AA70" si="28">IF(OR(R65,U65),(-1)*(R65^2+U65^2)^(-1.5)*(R65*S65+U65*V65)^2+(R65^2+U65^2)^(-0.5)*(S65^2+R65*T65+V65^2+U65*W65)+Y65,0)</f>
        <v>-2.6635374953782622</v>
      </c>
      <c r="AB65" s="643">
        <f t="shared" ref="AB65:AB70" si="29">IF(AA65=0,O65,O65-Z65/AA65)</f>
        <v>-2.0309296233015937E-2</v>
      </c>
    </row>
    <row r="66" spans="1:28" s="625" customFormat="1">
      <c r="A66" s="643">
        <f t="shared" si="12"/>
        <v>20</v>
      </c>
      <c r="B66" s="643">
        <f t="shared" si="13"/>
        <v>300</v>
      </c>
      <c r="C66" s="643">
        <f t="shared" si="2"/>
        <v>-1.9155814436896863E-2</v>
      </c>
      <c r="D66" s="643">
        <f t="shared" si="3"/>
        <v>7.1933943865066755E-2</v>
      </c>
      <c r="E66" s="643">
        <f t="shared" si="4"/>
        <v>6.4005627500000006</v>
      </c>
      <c r="F66" s="643">
        <f t="shared" si="5"/>
        <v>7.1208602499999998</v>
      </c>
      <c r="G66" s="643">
        <f t="shared" si="6"/>
        <v>-14.640043341971275</v>
      </c>
      <c r="H66" s="643">
        <f t="shared" si="7"/>
        <v>-0.88053898787748863</v>
      </c>
      <c r="I66" s="643">
        <f t="shared" si="8"/>
        <v>15.858272055072346</v>
      </c>
      <c r="J66" s="643">
        <f t="shared" si="11"/>
        <v>30.524771908956019</v>
      </c>
      <c r="K66" s="643">
        <f t="shared" si="9"/>
        <v>30.788818190483806</v>
      </c>
      <c r="L66" s="670">
        <f t="shared" si="10"/>
        <v>30.498315397043619</v>
      </c>
      <c r="M66" s="671"/>
      <c r="N66" s="643">
        <f>N65+1</f>
        <v>2</v>
      </c>
      <c r="O66" s="643">
        <f>AB65</f>
        <v>-2.0309296233015937E-2</v>
      </c>
      <c r="P66" s="643">
        <f t="shared" si="17"/>
        <v>-2.0307900107656103E-2</v>
      </c>
      <c r="Q66" s="643">
        <f t="shared" si="18"/>
        <v>0.99979377333188946</v>
      </c>
      <c r="R66" s="643">
        <f t="shared" si="19"/>
        <v>-14.968070349624725</v>
      </c>
      <c r="S66" s="643">
        <f t="shared" si="20"/>
        <v>0.10385533904917532</v>
      </c>
      <c r="T66" s="643">
        <f t="shared" si="21"/>
        <v>1.0216052371736155</v>
      </c>
      <c r="U66" s="643">
        <f t="shared" si="22"/>
        <v>-3.2851000409429272</v>
      </c>
      <c r="V66" s="643">
        <f t="shared" si="23"/>
        <v>-0.95764252384002646</v>
      </c>
      <c r="W66" s="643">
        <f t="shared" si="24"/>
        <v>3.2851000409429272</v>
      </c>
      <c r="X66" s="643">
        <f t="shared" si="25"/>
        <v>-0.10385533904917532</v>
      </c>
      <c r="Y66" s="643">
        <f t="shared" si="26"/>
        <v>-1.0216052371736153</v>
      </c>
      <c r="Z66" s="643">
        <f t="shared" si="27"/>
        <v>-4.9432138787136592E-6</v>
      </c>
      <c r="AA66" s="643">
        <f t="shared" si="28"/>
        <v>-2.6638476889220626</v>
      </c>
      <c r="AB66" s="643">
        <f t="shared" si="29"/>
        <v>-2.0311151899876798E-2</v>
      </c>
    </row>
    <row r="67" spans="1:28" s="625" customFormat="1">
      <c r="A67" s="643">
        <f t="shared" si="12"/>
        <v>21</v>
      </c>
      <c r="B67" s="643">
        <f t="shared" si="13"/>
        <v>315</v>
      </c>
      <c r="C67" s="643">
        <f t="shared" si="2"/>
        <v>-3.7120970549814551E-2</v>
      </c>
      <c r="D67" s="643">
        <f t="shared" si="3"/>
        <v>6.4524964565377346E-2</v>
      </c>
      <c r="E67" s="643">
        <f t="shared" si="4"/>
        <v>6.7607114999999993</v>
      </c>
      <c r="F67" s="643">
        <f t="shared" si="5"/>
        <v>6.7607115000000011</v>
      </c>
      <c r="G67" s="643">
        <f t="shared" si="6"/>
        <v>-14.774925068087747</v>
      </c>
      <c r="H67" s="643">
        <f t="shared" si="7"/>
        <v>-1.7063467567322497</v>
      </c>
      <c r="I67" s="643">
        <f t="shared" si="8"/>
        <v>15.99315378118882</v>
      </c>
      <c r="J67" s="643">
        <f t="shared" si="11"/>
        <v>30.866284925027308</v>
      </c>
      <c r="K67" s="643">
        <f t="shared" si="9"/>
        <v>30.519054738250858</v>
      </c>
      <c r="L67" s="670">
        <f t="shared" si="10"/>
        <v>30.768078849276566</v>
      </c>
      <c r="M67" s="671"/>
      <c r="N67" s="643">
        <f>N66+1</f>
        <v>3</v>
      </c>
      <c r="O67" s="643">
        <f>AB66</f>
        <v>-2.0311151899876798E-2</v>
      </c>
      <c r="P67" s="643">
        <f t="shared" si="17"/>
        <v>-2.0309755391794006E-2</v>
      </c>
      <c r="Q67" s="643">
        <f t="shared" si="18"/>
        <v>0.9997937356454708</v>
      </c>
      <c r="R67" s="643">
        <f t="shared" si="19"/>
        <v>-14.968070542343877</v>
      </c>
      <c r="S67" s="643">
        <f t="shared" si="20"/>
        <v>0.10385344328947653</v>
      </c>
      <c r="T67" s="643">
        <f t="shared" si="21"/>
        <v>1.0216060080502234</v>
      </c>
      <c r="U67" s="643">
        <f t="shared" si="22"/>
        <v>-3.2850982638717752</v>
      </c>
      <c r="V67" s="643">
        <f t="shared" si="23"/>
        <v>-0.9576486198896581</v>
      </c>
      <c r="W67" s="643">
        <f t="shared" si="24"/>
        <v>3.2850982638717752</v>
      </c>
      <c r="X67" s="643">
        <f t="shared" si="25"/>
        <v>-0.10385344328947654</v>
      </c>
      <c r="Y67" s="643">
        <f t="shared" si="26"/>
        <v>-1.0216060080502236</v>
      </c>
      <c r="Z67" s="643">
        <f t="shared" si="27"/>
        <v>9.3314245219744407E-14</v>
      </c>
      <c r="AA67" s="643">
        <f t="shared" si="28"/>
        <v>-2.6638477894407955</v>
      </c>
      <c r="AB67" s="643">
        <f t="shared" si="29"/>
        <v>-2.0311151899841767E-2</v>
      </c>
    </row>
    <row r="68" spans="1:28" s="625" customFormat="1">
      <c r="A68" s="643">
        <f t="shared" si="12"/>
        <v>22</v>
      </c>
      <c r="B68" s="643">
        <f t="shared" si="13"/>
        <v>330</v>
      </c>
      <c r="C68" s="643">
        <f t="shared" si="2"/>
        <v>-5.2556393865066726E-2</v>
      </c>
      <c r="D68" s="643">
        <f t="shared" si="3"/>
        <v>5.2718715563103181E-2</v>
      </c>
      <c r="E68" s="643">
        <f t="shared" si="4"/>
        <v>7.1208602499999998</v>
      </c>
      <c r="F68" s="643">
        <f t="shared" si="5"/>
        <v>6.4005627500000006</v>
      </c>
      <c r="G68" s="643">
        <f t="shared" si="6"/>
        <v>-14.893125341842918</v>
      </c>
      <c r="H68" s="643">
        <f t="shared" si="7"/>
        <v>-2.4158698139870518</v>
      </c>
      <c r="I68" s="643">
        <f t="shared" si="8"/>
        <v>16.111354054943991</v>
      </c>
      <c r="J68" s="643">
        <f t="shared" si="11"/>
        <v>31.199150759764002</v>
      </c>
      <c r="K68" s="643">
        <f t="shared" si="9"/>
        <v>30.282654190740523</v>
      </c>
      <c r="L68" s="670">
        <f t="shared" si="10"/>
        <v>31.004479396786909</v>
      </c>
      <c r="M68" s="671"/>
      <c r="N68" s="643">
        <f>N67+1</f>
        <v>4</v>
      </c>
      <c r="O68" s="643">
        <f>AB67</f>
        <v>-2.0311151899841767E-2</v>
      </c>
      <c r="P68" s="643">
        <f t="shared" si="17"/>
        <v>-2.0309755391758982E-2</v>
      </c>
      <c r="Q68" s="643">
        <f t="shared" si="18"/>
        <v>0.99979373564547147</v>
      </c>
      <c r="R68" s="643">
        <f t="shared" si="19"/>
        <v>-14.968070542343874</v>
      </c>
      <c r="S68" s="643">
        <f t="shared" si="20"/>
        <v>0.10385344328951233</v>
      </c>
      <c r="T68" s="643">
        <f t="shared" si="21"/>
        <v>1.021606008050209</v>
      </c>
      <c r="U68" s="643">
        <f t="shared" si="22"/>
        <v>-3.285098263871808</v>
      </c>
      <c r="V68" s="643">
        <f t="shared" si="23"/>
        <v>-0.95764861988954308</v>
      </c>
      <c r="W68" s="643">
        <f t="shared" si="24"/>
        <v>3.285098263871808</v>
      </c>
      <c r="X68" s="643">
        <f t="shared" si="25"/>
        <v>-0.10385344328951232</v>
      </c>
      <c r="Y68" s="643">
        <f t="shared" si="26"/>
        <v>-1.021606008050209</v>
      </c>
      <c r="Z68" s="643">
        <f t="shared" si="27"/>
        <v>-4.163336342344337E-17</v>
      </c>
      <c r="AA68" s="643">
        <f t="shared" si="28"/>
        <v>-2.6638477894407933</v>
      </c>
      <c r="AB68" s="643">
        <f t="shared" si="29"/>
        <v>-2.0311151899841784E-2</v>
      </c>
    </row>
    <row r="69" spans="1:28" s="625" customFormat="1">
      <c r="A69" s="643">
        <f t="shared" si="12"/>
        <v>23</v>
      </c>
      <c r="B69" s="643">
        <f t="shared" si="13"/>
        <v>345</v>
      </c>
      <c r="C69" s="643">
        <f t="shared" si="2"/>
        <v>-6.4410185791962088E-2</v>
      </c>
      <c r="D69" s="643">
        <f t="shared" si="3"/>
        <v>3.731977321700021E-2</v>
      </c>
      <c r="E69" s="643">
        <f t="shared" si="4"/>
        <v>7.3845074332824225</v>
      </c>
      <c r="F69" s="643">
        <f t="shared" si="5"/>
        <v>6.1369155667175779</v>
      </c>
      <c r="G69" s="643">
        <f t="shared" si="6"/>
        <v>-14.962972495338947</v>
      </c>
      <c r="H69" s="643">
        <f t="shared" si="7"/>
        <v>-2.9607553358322738</v>
      </c>
      <c r="I69" s="643">
        <f t="shared" si="8"/>
        <v>16.181201208440022</v>
      </c>
      <c r="J69" s="643">
        <f t="shared" si="11"/>
        <v>31.434286734160025</v>
      </c>
      <c r="K69" s="643">
        <f t="shared" si="9"/>
        <v>30.14295988374846</v>
      </c>
      <c r="L69" s="670">
        <f t="shared" si="10"/>
        <v>31.144173703778971</v>
      </c>
      <c r="M69" s="671"/>
      <c r="N69" s="643">
        <f>N68+1</f>
        <v>5</v>
      </c>
      <c r="O69" s="643">
        <f>AB68</f>
        <v>-2.0311151899841784E-2</v>
      </c>
      <c r="P69" s="643">
        <f t="shared" si="17"/>
        <v>-2.0309755391758999E-2</v>
      </c>
      <c r="Q69" s="643">
        <f t="shared" si="18"/>
        <v>0.99979373564547147</v>
      </c>
      <c r="R69" s="643">
        <f t="shared" si="19"/>
        <v>-14.968070542343874</v>
      </c>
      <c r="S69" s="643">
        <f t="shared" si="20"/>
        <v>0.10385344328951231</v>
      </c>
      <c r="T69" s="643">
        <f t="shared" si="21"/>
        <v>1.021606008050209</v>
      </c>
      <c r="U69" s="643">
        <f t="shared" si="22"/>
        <v>-3.285098263871808</v>
      </c>
      <c r="V69" s="643">
        <f t="shared" si="23"/>
        <v>-0.95764861988954308</v>
      </c>
      <c r="W69" s="643">
        <f t="shared" si="24"/>
        <v>3.285098263871808</v>
      </c>
      <c r="X69" s="643">
        <f t="shared" si="25"/>
        <v>-0.10385344328951229</v>
      </c>
      <c r="Y69" s="643">
        <f t="shared" si="26"/>
        <v>-1.021606008050209</v>
      </c>
      <c r="Z69" s="643">
        <f t="shared" si="27"/>
        <v>2.7755575615628914E-17</v>
      </c>
      <c r="AA69" s="643">
        <f t="shared" si="28"/>
        <v>-2.6638477894407933</v>
      </c>
      <c r="AB69" s="643">
        <f t="shared" si="29"/>
        <v>-2.0311151899841774E-2</v>
      </c>
    </row>
    <row r="70" spans="1:28" s="625" customFormat="1">
      <c r="A70" s="643">
        <f t="shared" si="12"/>
        <v>24</v>
      </c>
      <c r="B70" s="643">
        <f t="shared" si="13"/>
        <v>360</v>
      </c>
      <c r="C70" s="643">
        <f t="shared" si="2"/>
        <v>-7.1874530000000006E-2</v>
      </c>
      <c r="D70" s="643">
        <f t="shared" si="3"/>
        <v>1.9377550000000018E-2</v>
      </c>
      <c r="E70" s="643">
        <f t="shared" si="4"/>
        <v>7.4810090000000002</v>
      </c>
      <c r="F70" s="643">
        <f t="shared" si="5"/>
        <v>6.0404140000000002</v>
      </c>
      <c r="G70" s="643">
        <f t="shared" si="6"/>
        <v>-14.965751040202965</v>
      </c>
      <c r="H70" s="643">
        <f t="shared" si="7"/>
        <v>-3.3038702744200608</v>
      </c>
      <c r="I70" s="643">
        <f t="shared" si="8"/>
        <v>16.183979753304037</v>
      </c>
      <c r="J70" s="643">
        <f t="shared" si="11"/>
        <v>31.510077201367345</v>
      </c>
      <c r="K70" s="643">
        <f t="shared" si="9"/>
        <v>30.137402794020431</v>
      </c>
      <c r="L70" s="670">
        <f t="shared" si="10"/>
        <v>31.149730793507004</v>
      </c>
      <c r="M70" s="671"/>
      <c r="N70" s="643">
        <f>N69+1</f>
        <v>6</v>
      </c>
      <c r="O70" s="643">
        <f>AB69</f>
        <v>-2.0311151899841774E-2</v>
      </c>
      <c r="P70" s="643">
        <f t="shared" si="17"/>
        <v>-2.0309755391758989E-2</v>
      </c>
      <c r="Q70" s="643">
        <f t="shared" si="18"/>
        <v>0.99979373564547147</v>
      </c>
      <c r="R70" s="643">
        <f t="shared" si="19"/>
        <v>-14.968070542343874</v>
      </c>
      <c r="S70" s="643">
        <f t="shared" si="20"/>
        <v>0.10385344328951232</v>
      </c>
      <c r="T70" s="643">
        <f t="shared" si="21"/>
        <v>1.021606008050209</v>
      </c>
      <c r="U70" s="643">
        <f t="shared" si="22"/>
        <v>-3.285098263871808</v>
      </c>
      <c r="V70" s="643">
        <f t="shared" si="23"/>
        <v>-0.95764861988954308</v>
      </c>
      <c r="W70" s="643">
        <f t="shared" si="24"/>
        <v>3.285098263871808</v>
      </c>
      <c r="X70" s="643">
        <f t="shared" si="25"/>
        <v>-0.10385344328951232</v>
      </c>
      <c r="Y70" s="643">
        <f t="shared" si="26"/>
        <v>-1.021606008050209</v>
      </c>
      <c r="Z70" s="643">
        <f t="shared" si="27"/>
        <v>-2.7755575615628914E-17</v>
      </c>
      <c r="AA70" s="643">
        <f t="shared" si="28"/>
        <v>-2.6638477894407933</v>
      </c>
      <c r="AB70" s="643">
        <f t="shared" si="29"/>
        <v>-2.0311151899841784E-2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-6.6275079888964264E-2</v>
      </c>
      <c r="D73" s="643">
        <f t="shared" ref="D73:D85" si="32">$E$19*SIN(B73*PI()/180)+$E$20*COS(B73*PI()/180)</f>
        <v>3.3897659099631126E-2</v>
      </c>
      <c r="E73" s="643">
        <f t="shared" ref="E73:E85" si="33">$E$22*COS(B73*PI()/180)^2+$E$23*SIN(B73*PI()/180)^2</f>
        <v>7.4187360092763228</v>
      </c>
      <c r="F73" s="643">
        <f t="shared" ref="F73:F85" si="34">$E$22*SIN(B73*PI()/180)^2+$E$23*COS(B73*PI()/180)^2</f>
        <v>6.1026869907236794</v>
      </c>
      <c r="G73" s="643">
        <f t="shared" ref="G73:G85" si="35">($E$18*(C73+$E$28)^2-$E$18*($E$21+$E$26)^2+$E$24-E73)/2</f>
        <v>-14.969192759466051</v>
      </c>
      <c r="H73" s="643">
        <f t="shared" ref="H73:H85" si="36">$E$18*(C73+$E$28)*($E$21+$E$26)</f>
        <v>-3.046479279655308</v>
      </c>
      <c r="I73" s="643">
        <f t="shared" ref="I73:I85" si="37">$E$18*((C73+$E$28)^2+($E$21+$E$26)^2)/2+$E$18*(D73+$E$27)^2+($E$24+E73)/2</f>
        <v>16.187421472567124</v>
      </c>
      <c r="J73" s="643">
        <f>SQRT(G73^2+H73^2)+I73</f>
        <v>31.463473576151344</v>
      </c>
      <c r="K73" s="670">
        <f>IF(G73=0,0,IF((PI()/2-ATAN2(H73,G73))/2*180/PI()&gt;90,(PI()/2-ATAN2(H73,G73))/2*180/PI()-180,(PI()/2-ATAN2(H73,G73))/2*180/PI()))</f>
        <v>-84.248231045907431</v>
      </c>
      <c r="L73" s="670">
        <f>IF(G73=0,0,SQRT(G73^2+H73^2)*SIN(2*K73*PI()/180+ATAN2(H73,G73))+I73)</f>
        <v>31.463473576151344</v>
      </c>
    </row>
    <row r="74" spans="1:28" s="625" customFormat="1">
      <c r="A74" s="643">
        <v>1</v>
      </c>
      <c r="B74" s="643">
        <f t="shared" si="30"/>
        <v>-10</v>
      </c>
      <c r="C74" s="643">
        <f t="shared" si="31"/>
        <v>-6.7417718142958716E-2</v>
      </c>
      <c r="D74" s="643">
        <f t="shared" si="32"/>
        <v>3.156404262954883E-2</v>
      </c>
      <c r="E74" s="643">
        <f t="shared" si="33"/>
        <v>7.4375697455205367</v>
      </c>
      <c r="F74" s="643">
        <f t="shared" si="34"/>
        <v>6.0838532544794619</v>
      </c>
      <c r="G74" s="643">
        <f t="shared" si="35"/>
        <v>-14.971781143600584</v>
      </c>
      <c r="H74" s="643">
        <f t="shared" si="36"/>
        <v>-3.0990031509319271</v>
      </c>
      <c r="I74" s="643">
        <f t="shared" si="37"/>
        <v>16.190009856701657</v>
      </c>
      <c r="J74" s="643">
        <f>SQRT(G74^2+H74^2)+I74</f>
        <v>31.47915800633249</v>
      </c>
      <c r="K74" s="670">
        <f t="shared" ref="K74:K85" si="38">IF(G74=0,0,IF((PI()/2-ATAN2(H74,G74))/2*180/PI()&gt;90,(PI()/2-ATAN2(H74,G74))/2*180/PI()-180,(PI()/2-ATAN2(H74,G74))/2*180/PI()))</f>
        <v>-84.152758949617294</v>
      </c>
      <c r="L74" s="670">
        <f t="shared" ref="L74:L85" si="39">IF(G74=0,0,SQRT(G74^2+H74^2)*SIN(2*K74*PI()/180+ATAN2(H74,G74))+I74)</f>
        <v>31.47915800633249</v>
      </c>
    </row>
    <row r="75" spans="1:28" s="625" customFormat="1">
      <c r="A75" s="643">
        <f>A74+1</f>
        <v>2</v>
      </c>
      <c r="B75" s="643">
        <f t="shared" si="30"/>
        <v>-8</v>
      </c>
      <c r="C75" s="643">
        <f t="shared" si="31"/>
        <v>-6.8478218292299359E-2</v>
      </c>
      <c r="D75" s="643">
        <f t="shared" si="32"/>
        <v>2.9191970235590468E-2</v>
      </c>
      <c r="E75" s="643">
        <f t="shared" si="33"/>
        <v>7.4531058964301318</v>
      </c>
      <c r="F75" s="643">
        <f t="shared" si="34"/>
        <v>6.0683171035698704</v>
      </c>
      <c r="G75" s="643">
        <f t="shared" si="35"/>
        <v>-14.97310715961385</v>
      </c>
      <c r="H75" s="643">
        <f t="shared" si="36"/>
        <v>-3.1477513642339767</v>
      </c>
      <c r="I75" s="643">
        <f t="shared" si="37"/>
        <v>16.191335872714923</v>
      </c>
      <c r="J75" s="643">
        <f t="shared" ref="J75:J84" si="40">SQRT(G75^2+H75^2)+I75</f>
        <v>31.491737065635206</v>
      </c>
      <c r="K75" s="670">
        <f t="shared" si="38"/>
        <v>-84.063882388798248</v>
      </c>
      <c r="L75" s="670">
        <f t="shared" si="39"/>
        <v>31.491737065635206</v>
      </c>
    </row>
    <row r="76" spans="1:28" s="625" customFormat="1">
      <c r="A76" s="643">
        <f t="shared" ref="A76:A84" si="41">A75+1</f>
        <v>3</v>
      </c>
      <c r="B76" s="643">
        <f t="shared" si="30"/>
        <v>-6</v>
      </c>
      <c r="C76" s="643">
        <f t="shared" si="31"/>
        <v>-6.9455288280911701E-2</v>
      </c>
      <c r="D76" s="643">
        <f t="shared" si="32"/>
        <v>2.6784331922578342E-2</v>
      </c>
      <c r="E76" s="643">
        <f t="shared" si="33"/>
        <v>7.4652687714395585</v>
      </c>
      <c r="F76" s="643">
        <f t="shared" si="34"/>
        <v>6.0561542285604419</v>
      </c>
      <c r="G76" s="643">
        <f t="shared" si="35"/>
        <v>-14.973164347289119</v>
      </c>
      <c r="H76" s="643">
        <f t="shared" si="36"/>
        <v>-3.1926645273726333</v>
      </c>
      <c r="I76" s="643">
        <f t="shared" si="37"/>
        <v>16.19139306039019</v>
      </c>
      <c r="J76" s="643">
        <f t="shared" si="40"/>
        <v>31.501153259533531</v>
      </c>
      <c r="K76" s="670">
        <f t="shared" si="38"/>
        <v>-83.981659764593033</v>
      </c>
      <c r="L76" s="670">
        <f t="shared" si="39"/>
        <v>31.501153259533531</v>
      </c>
    </row>
    <row r="77" spans="1:28" s="625" customFormat="1">
      <c r="A77" s="643">
        <f t="shared" si="41"/>
        <v>4</v>
      </c>
      <c r="B77" s="643">
        <f t="shared" si="30"/>
        <v>-4</v>
      </c>
      <c r="C77" s="643">
        <f t="shared" si="31"/>
        <v>-7.0347737699520768E-2</v>
      </c>
      <c r="D77" s="643">
        <f t="shared" si="32"/>
        <v>2.4344061026928605E-2</v>
      </c>
      <c r="E77" s="643">
        <f t="shared" si="33"/>
        <v>7.4739991142443811</v>
      </c>
      <c r="F77" s="643">
        <f t="shared" si="34"/>
        <v>6.0474238857556184</v>
      </c>
      <c r="G77" s="643">
        <f t="shared" si="35"/>
        <v>-14.971952428013786</v>
      </c>
      <c r="H77" s="643">
        <f t="shared" si="36"/>
        <v>-3.2336879205769571</v>
      </c>
      <c r="I77" s="643">
        <f t="shared" si="37"/>
        <v>16.190181141114856</v>
      </c>
      <c r="J77" s="643">
        <f t="shared" si="40"/>
        <v>31.507364207018107</v>
      </c>
      <c r="K77" s="670">
        <f t="shared" si="38"/>
        <v>-83.906147390504444</v>
      </c>
      <c r="L77" s="670">
        <f t="shared" si="39"/>
        <v>31.507364207018107</v>
      </c>
    </row>
    <row r="78" spans="1:28" s="625" customFormat="1">
      <c r="A78" s="643">
        <f t="shared" si="41"/>
        <v>5</v>
      </c>
      <c r="B78" s="643">
        <f t="shared" si="30"/>
        <v>-2</v>
      </c>
      <c r="C78" s="643">
        <f t="shared" si="31"/>
        <v>-7.1154479235981269E-2</v>
      </c>
      <c r="D78" s="643">
        <f t="shared" si="32"/>
        <v>2.1874130642832688E-2</v>
      </c>
      <c r="E78" s="643">
        <f t="shared" si="33"/>
        <v>7.4792543914920273</v>
      </c>
      <c r="F78" s="643">
        <f t="shared" si="34"/>
        <v>6.0421686085079749</v>
      </c>
      <c r="G78" s="643">
        <f t="shared" si="35"/>
        <v>-14.96947730613674</v>
      </c>
      <c r="H78" s="643">
        <f t="shared" si="36"/>
        <v>-3.2707715631614973</v>
      </c>
      <c r="I78" s="643">
        <f t="shared" si="37"/>
        <v>16.187706019237812</v>
      </c>
      <c r="J78" s="643">
        <f t="shared" si="40"/>
        <v>31.510342784407467</v>
      </c>
      <c r="K78" s="670">
        <f t="shared" si="38"/>
        <v>-83.837399812102888</v>
      </c>
      <c r="L78" s="670">
        <f t="shared" si="39"/>
        <v>31.510342784407467</v>
      </c>
    </row>
    <row r="79" spans="1:28" s="625" customFormat="1" ht="14.25">
      <c r="A79" s="695">
        <f t="shared" si="41"/>
        <v>6</v>
      </c>
      <c r="B79" s="695">
        <f>INDEX($B46:$B70,MATCH($J$44,$J$46:$J$70,0))</f>
        <v>0</v>
      </c>
      <c r="C79" s="695">
        <f t="shared" si="31"/>
        <v>-7.1874530000000006E-2</v>
      </c>
      <c r="D79" s="695">
        <f t="shared" si="32"/>
        <v>1.937755E-2</v>
      </c>
      <c r="E79" s="695">
        <f t="shared" si="33"/>
        <v>7.4810090000000002</v>
      </c>
      <c r="F79" s="695">
        <f t="shared" si="34"/>
        <v>6.0404140000000002</v>
      </c>
      <c r="G79" s="695">
        <f t="shared" si="35"/>
        <v>-14.965751040202965</v>
      </c>
      <c r="H79" s="695">
        <f t="shared" si="36"/>
        <v>-3.3038702744200608</v>
      </c>
      <c r="I79" s="695">
        <f t="shared" si="37"/>
        <v>16.183979753304037</v>
      </c>
      <c r="J79" s="695">
        <f t="shared" si="40"/>
        <v>31.510077201367345</v>
      </c>
      <c r="K79" s="670">
        <f t="shared" si="38"/>
        <v>-83.775470070589549</v>
      </c>
      <c r="L79" s="670">
        <f t="shared" si="39"/>
        <v>31.510077201367345</v>
      </c>
    </row>
    <row r="80" spans="1:28" s="625" customFormat="1">
      <c r="A80" s="643">
        <f t="shared" si="41"/>
        <v>7</v>
      </c>
      <c r="B80" s="643">
        <f t="shared" ref="B80:B85" si="42">B79+2</f>
        <v>2</v>
      </c>
      <c r="C80" s="643">
        <f t="shared" si="31"/>
        <v>-7.2507012720636352E-2</v>
      </c>
      <c r="D80" s="643">
        <f t="shared" si="32"/>
        <v>1.6857360797375071E-2</v>
      </c>
      <c r="E80" s="643">
        <f t="shared" si="33"/>
        <v>7.4792543914920273</v>
      </c>
      <c r="F80" s="643">
        <f t="shared" si="34"/>
        <v>6.0421686085079749</v>
      </c>
      <c r="G80" s="643">
        <f t="shared" si="35"/>
        <v>-14.960791784205529</v>
      </c>
      <c r="H80" s="643">
        <f t="shared" si="36"/>
        <v>-3.3329437286714452</v>
      </c>
      <c r="I80" s="643">
        <f t="shared" si="37"/>
        <v>16.179020497306603</v>
      </c>
      <c r="J80" s="643">
        <f t="shared" si="40"/>
        <v>31.506571009663169</v>
      </c>
      <c r="K80" s="670">
        <f t="shared" si="38"/>
        <v>-83.720409908359144</v>
      </c>
      <c r="L80" s="670">
        <f t="shared" si="39"/>
        <v>31.506571009663169</v>
      </c>
    </row>
    <row r="81" spans="1:16" s="625" customFormat="1">
      <c r="A81" s="643">
        <f t="shared" si="41"/>
        <v>8</v>
      </c>
      <c r="B81" s="643">
        <f t="shared" si="42"/>
        <v>4</v>
      </c>
      <c r="C81" s="643">
        <f t="shared" si="31"/>
        <v>-7.3051156815121726E-2</v>
      </c>
      <c r="D81" s="643">
        <f t="shared" si="32"/>
        <v>1.431663349729591E-2</v>
      </c>
      <c r="E81" s="643">
        <f t="shared" si="33"/>
        <v>7.4739991142443811</v>
      </c>
      <c r="F81" s="643">
        <f t="shared" si="34"/>
        <v>6.0474238857556184</v>
      </c>
      <c r="G81" s="643">
        <f t="shared" si="35"/>
        <v>-14.95462369914115</v>
      </c>
      <c r="H81" s="643">
        <f t="shared" si="36"/>
        <v>-3.3579565043900685</v>
      </c>
      <c r="I81" s="643">
        <f t="shared" si="37"/>
        <v>16.172852412242221</v>
      </c>
      <c r="J81" s="643">
        <f t="shared" si="40"/>
        <v>31.499843045379883</v>
      </c>
      <c r="K81" s="670">
        <f t="shared" si="38"/>
        <v>-83.672269915057683</v>
      </c>
      <c r="L81" s="670">
        <f t="shared" si="39"/>
        <v>31.499843045379883</v>
      </c>
    </row>
    <row r="82" spans="1:16" s="625" customFormat="1">
      <c r="A82" s="643">
        <f t="shared" si="41"/>
        <v>9</v>
      </c>
      <c r="B82" s="643">
        <f t="shared" si="42"/>
        <v>6</v>
      </c>
      <c r="C82" s="643">
        <f t="shared" si="31"/>
        <v>-7.3506299327695937E-2</v>
      </c>
      <c r="D82" s="643">
        <f t="shared" si="32"/>
        <v>1.1758463584608629E-2</v>
      </c>
      <c r="E82" s="643">
        <f t="shared" si="33"/>
        <v>7.4652687714395585</v>
      </c>
      <c r="F82" s="643">
        <f t="shared" si="34"/>
        <v>6.0561542285604419</v>
      </c>
      <c r="G82" s="643">
        <f t="shared" si="35"/>
        <v>-14.947276835300245</v>
      </c>
      <c r="H82" s="643">
        <f t="shared" si="36"/>
        <v>-3.378878127361638</v>
      </c>
      <c r="I82" s="643">
        <f t="shared" si="37"/>
        <v>16.16550554840132</v>
      </c>
      <c r="J82" s="643">
        <f t="shared" si="40"/>
        <v>31.489927305540029</v>
      </c>
      <c r="K82" s="670">
        <f t="shared" si="38"/>
        <v>-83.631099612962629</v>
      </c>
      <c r="L82" s="670">
        <f t="shared" si="39"/>
        <v>31.489927305540029</v>
      </c>
    </row>
    <row r="83" spans="1:16" s="625" customFormat="1">
      <c r="A83" s="643">
        <f t="shared" si="41"/>
        <v>10</v>
      </c>
      <c r="B83" s="643">
        <f t="shared" si="42"/>
        <v>8</v>
      </c>
      <c r="C83" s="643">
        <f t="shared" si="31"/>
        <v>-7.3871885737316789E-2</v>
      </c>
      <c r="D83" s="643">
        <f t="shared" si="32"/>
        <v>9.1859677952959642E-3</v>
      </c>
      <c r="E83" s="643">
        <f t="shared" si="33"/>
        <v>7.4531058964301318</v>
      </c>
      <c r="F83" s="643">
        <f t="shared" si="34"/>
        <v>6.0683171035698704</v>
      </c>
      <c r="G83" s="643">
        <f t="shared" si="35"/>
        <v>-14.938786985864947</v>
      </c>
      <c r="H83" s="643">
        <f t="shared" si="36"/>
        <v>-3.395683107811295</v>
      </c>
      <c r="I83" s="643">
        <f t="shared" si="37"/>
        <v>16.157015698966021</v>
      </c>
      <c r="J83" s="643">
        <f t="shared" si="40"/>
        <v>31.476872760235324</v>
      </c>
      <c r="K83" s="670">
        <f t="shared" si="38"/>
        <v>-83.596947480829613</v>
      </c>
      <c r="L83" s="670">
        <f t="shared" si="39"/>
        <v>31.476872760235324</v>
      </c>
    </row>
    <row r="84" spans="1:16" s="625" customFormat="1">
      <c r="A84" s="643">
        <f t="shared" si="41"/>
        <v>11</v>
      </c>
      <c r="B84" s="643">
        <f t="shared" si="42"/>
        <v>10</v>
      </c>
      <c r="C84" s="643">
        <f t="shared" si="31"/>
        <v>-7.4147470633258356E-2</v>
      </c>
      <c r="D84" s="643">
        <f t="shared" si="32"/>
        <v>6.6022803192145978E-3</v>
      </c>
      <c r="E84" s="643">
        <f t="shared" si="33"/>
        <v>7.4375697455205367</v>
      </c>
      <c r="F84" s="643">
        <f t="shared" si="34"/>
        <v>6.0838532544794619</v>
      </c>
      <c r="G84" s="643">
        <f t="shared" si="35"/>
        <v>-14.929195512528304</v>
      </c>
      <c r="H84" s="643">
        <f t="shared" si="36"/>
        <v>-3.408350971458967</v>
      </c>
      <c r="I84" s="643">
        <f t="shared" si="37"/>
        <v>16.147424225629379</v>
      </c>
      <c r="J84" s="643">
        <f t="shared" si="40"/>
        <v>31.460743101560247</v>
      </c>
      <c r="K84" s="670">
        <f t="shared" si="38"/>
        <v>-83.569860915658538</v>
      </c>
      <c r="L84" s="670">
        <f t="shared" si="39"/>
        <v>31.460743101560247</v>
      </c>
    </row>
    <row r="85" spans="1:16" s="625" customFormat="1">
      <c r="A85" s="643">
        <f>A84+1</f>
        <v>12</v>
      </c>
      <c r="B85" s="643">
        <f t="shared" si="42"/>
        <v>12</v>
      </c>
      <c r="C85" s="643">
        <f t="shared" si="31"/>
        <v>-7.4332718257775612E-2</v>
      </c>
      <c r="D85" s="643">
        <f t="shared" si="32"/>
        <v>4.0105489815675886E-3</v>
      </c>
      <c r="E85" s="643">
        <f t="shared" si="33"/>
        <v>7.4187360092763228</v>
      </c>
      <c r="F85" s="643">
        <f t="shared" si="34"/>
        <v>6.1026869907236794</v>
      </c>
      <c r="G85" s="643">
        <f t="shared" si="35"/>
        <v>-14.918549143984285</v>
      </c>
      <c r="H85" s="643">
        <f t="shared" si="36"/>
        <v>-3.4168662844641369</v>
      </c>
      <c r="I85" s="643">
        <f t="shared" si="37"/>
        <v>16.136777857085359</v>
      </c>
      <c r="J85" s="643">
        <f>SQRT(G85^2+H85^2)+I85</f>
        <v>31.441616430797332</v>
      </c>
      <c r="K85" s="670">
        <f t="shared" si="38"/>
        <v>-83.54988613213844</v>
      </c>
      <c r="L85" s="670">
        <f t="shared" si="39"/>
        <v>31.441616430797332</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358.83625671908993</v>
      </c>
      <c r="C89" s="643">
        <f>$E$19*COS(B89*PI()/180)-$E$20*SIN(B89*PI()/180)</f>
        <v>-7.146615154587091E-2</v>
      </c>
      <c r="D89" s="643">
        <f>$E$19*SIN(B89*PI()/180)+$E$20*COS(B89*PI()/180)</f>
        <v>2.0833307225354616E-2</v>
      </c>
      <c r="E89" s="643">
        <f>$E$22*COS(B89*PI()/180)^2+$E$23*SIN(B89*PI()/180)^2</f>
        <v>7.4804147744944673</v>
      </c>
      <c r="F89" s="670">
        <f>$E$22*SIN(B89*PI()/180)^2+$E$23*COS(B89*PI()/180)^2</f>
        <v>6.0410082255055331</v>
      </c>
      <c r="G89" s="643">
        <f>($E$18*(C89+$E$28)^2-$E$18*($E$21+$E$26)^2+$E$24-E89)/2</f>
        <v>-14.968070542343872</v>
      </c>
      <c r="H89" s="643">
        <f>$E$18*(C89+$E$28)*($E$21+$E$26)</f>
        <v>-3.2850982638718076</v>
      </c>
      <c r="I89" s="643">
        <f>$E$18*((C89+$E$28)^2+($E$21+$E$26)^2)/2+$E$18*(D89+$E$27)^2+($E$24+E89)/2</f>
        <v>16.186299255444947</v>
      </c>
      <c r="J89" s="702">
        <f>SQRT(G89^2+H89^2)+I89</f>
        <v>31.510626528244753</v>
      </c>
      <c r="K89" s="659">
        <f>$E$18*((C89+$E$28)^2+($E$21+$E$26)^2)+F89</f>
        <v>30.132763789738611</v>
      </c>
      <c r="L89" s="659">
        <f>$E$18*(D89^2+($E$21+$E$26)^2)+E89</f>
        <v>31.154369797788821</v>
      </c>
      <c r="N89" s="643">
        <f>IF(G89=0,0,IF((PI()/2-ATAN2(H89,G89))/2*180/PI()&gt;90,(PI()/2-ATAN2(H89,G89))/2*180/PI()-180,(PI()/2-ATAN2(H89,G89))/2*180/PI()))</f>
        <v>-83.810672848067725</v>
      </c>
      <c r="O89" s="643">
        <f>IF(G89=0,0,SQRT(G89^2+H89^2)*SIN(2*N89*PI()/180+ATAN2(H89,G89))+I89)</f>
        <v>31.510626528244753</v>
      </c>
      <c r="P89" s="703"/>
    </row>
    <row r="90" spans="1:16" s="625" customFormat="1" ht="14.25">
      <c r="A90" s="664" t="s">
        <v>1584</v>
      </c>
      <c r="B90" s="701">
        <f>N46</f>
        <v>83.090059103258824</v>
      </c>
      <c r="C90" s="643">
        <f>$E$19*COS(B90*PI()/180)-$E$20*SIN(B90*PI()/180)</f>
        <v>-2.7883959546320287E-2</v>
      </c>
      <c r="D90" s="670">
        <f>$E$19*SIN(B90*PI()/180)+$E$20*COS(B90*PI()/180)</f>
        <v>-6.9021172887329119E-2</v>
      </c>
      <c r="E90" s="670">
        <f>$E$22*COS(B90*PI()/180)^2+$E$23*SIN(B90*PI()/180)^2</f>
        <v>6.0612655684268679</v>
      </c>
      <c r="F90" s="643">
        <f>$E$22*SIN(B90*PI()/180)^2+$E$23*COS(B90*PI()/180)^2</f>
        <v>7.4601574315731334</v>
      </c>
      <c r="G90" s="670">
        <f>($E$18*(C90+$E$28)^2-$E$18*($E$21+$E$26)^2+$E$24-E90)/2</f>
        <v>-14.452042273380881</v>
      </c>
      <c r="H90" s="670">
        <f>$E$18*(C90+$E$28)*($E$21+$E$26)</f>
        <v>-1.2817473043402032</v>
      </c>
      <c r="I90" s="670">
        <f>$E$18*((C90+$E$28)^2+($E$21+$E$26)^2)/2+$E$18*(D90+$E$27)^2+($E$24+E90)/2</f>
        <v>15.670270986481951</v>
      </c>
      <c r="J90" s="670">
        <f>SQRT(G90^2+H90^2)+I90</f>
        <v>30.179040817993215</v>
      </c>
      <c r="K90" s="702">
        <f>$E$18*((C90+$E$28)^2+($E$21+$E$26)^2)+F90</f>
        <v>31.164820327664597</v>
      </c>
      <c r="L90" s="659">
        <f>$E$18*(D90^2+($E$21+$E$26)^2)+E90</f>
        <v>30.122313259862832</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24</v>
      </c>
      <c r="J8" s="228">
        <f>+E6</f>
        <v>85</v>
      </c>
      <c r="K8" s="228">
        <f>+(C8-L6)/K6</f>
        <v>210.81699346405227</v>
      </c>
      <c r="L8" s="224"/>
      <c r="M8" s="228">
        <f>+(C8-N6)/M6</f>
        <v>210.44</v>
      </c>
    </row>
    <row r="9" spans="1:14">
      <c r="E9" s="213" t="s">
        <v>347</v>
      </c>
      <c r="F9" s="213">
        <v>1</v>
      </c>
      <c r="G9" s="213">
        <v>2</v>
      </c>
      <c r="H9" s="213">
        <v>3</v>
      </c>
    </row>
    <row r="10" spans="1:14">
      <c r="A10" s="226" t="s">
        <v>2191</v>
      </c>
      <c r="B10" s="228" t="s">
        <v>2192</v>
      </c>
      <c r="C10" s="224">
        <f>IF(H6=1,F10,IF(H6=2,$G10,IF(H6=3,H10,IF(H6="-",E10))))</f>
        <v>210.44</v>
      </c>
      <c r="E10" s="228">
        <f>VLOOKUP(Anal_Robot_Code,Table1,12,TRUE)</f>
        <v>210</v>
      </c>
      <c r="F10" s="224">
        <f>IF($C8&gt;$C6,0,IF($C8&gt;$D6,$K8,IF($C8&lt;=$D6,$M8,"NG")))</f>
        <v>210.44</v>
      </c>
      <c r="G10" s="224">
        <f>IF($C8&gt;$C6,0,IF($C8&gt;$D6,$K8,IF($C8&lt;=$D6,$F6,"NG")))</f>
        <v>210</v>
      </c>
      <c r="H10" s="224">
        <f>IF($C8&gt;$C6,0,IF($C8&gt;=0,$K8))</f>
        <v>210.81699346405227</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210.44</v>
      </c>
      <c r="K29" s="224">
        <f>VLOOKUP(Anal_Robot_Code,Table1,12,TRUE)</f>
        <v>210</v>
      </c>
      <c r="L29" s="224">
        <f>IF($C8&gt;$C36,0,IF($C8&gt;$D36,$K32,IF($C8&lt;=$D36,$M32,"NG")))</f>
        <v>210.44</v>
      </c>
      <c r="M29" s="224">
        <f>IF($C8&gt;$C36,0,IF($C8&gt;$D36,$K32,IF($C8&lt;=$D36,$F36,"NG")))</f>
        <v>210</v>
      </c>
      <c r="N29" s="224">
        <f>IF($C8&gt;$C36,0,IF($C8&gt;=0,$K32))</f>
        <v>210.81699346405227</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210.81699346405227</v>
      </c>
      <c r="L32" s="224"/>
      <c r="M32" s="224">
        <f>+(C8-N36)/M36</f>
        <v>210.44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7.4440832254370995E-2</v>
      </c>
      <c r="P5" s="10"/>
      <c r="Q5" s="4" t="s">
        <v>91</v>
      </c>
      <c r="R5" s="10"/>
    </row>
    <row r="6" spans="1:18" ht="14.1" customHeight="1">
      <c r="B6" s="14" t="s">
        <v>427</v>
      </c>
      <c r="C6" s="72">
        <f>VLOOKUP($C$3,Table1,12)</f>
        <v>210</v>
      </c>
      <c r="D6" s="68">
        <f>HLOOKUP($C$4,$E$4:$H$12,3)</f>
        <v>89.4</v>
      </c>
      <c r="E6" s="68">
        <f>'Payload Input'!$E$18</f>
        <v>89.4</v>
      </c>
      <c r="F6" s="68">
        <f>'Payload Input'!$E$18</f>
        <v>89.4</v>
      </c>
      <c r="G6" s="147">
        <f>IF(('Misc Data'!$B$11=3),Anal_Input_1, 0)</f>
        <v>0</v>
      </c>
      <c r="H6" s="155">
        <f>I6</f>
        <v>0</v>
      </c>
      <c r="I6" s="156">
        <f>IF(('Misc Data'!$B$11=4),Anal_Input_1, 0)</f>
        <v>0</v>
      </c>
      <c r="J6" s="39"/>
      <c r="K6" s="51"/>
      <c r="L6" s="52"/>
      <c r="M6" s="400"/>
      <c r="N6" s="391" t="s">
        <v>840</v>
      </c>
      <c r="O6" s="52">
        <f>'Payload Input'!$E$21+'Payload Input'!$E$26</f>
        <v>0.51417439999999992</v>
      </c>
      <c r="Q6" s="31" t="s">
        <v>427</v>
      </c>
      <c r="R6" s="450">
        <f>D6</f>
        <v>89.4</v>
      </c>
    </row>
    <row r="7" spans="1:18" ht="14.1" customHeight="1">
      <c r="B7" s="14" t="s">
        <v>364</v>
      </c>
      <c r="C7" s="72">
        <f>VLOOKUP($C$3,Table1,6)</f>
        <v>1333</v>
      </c>
      <c r="D7" s="68">
        <f>IF(OR(Anal_Robot_Code=10111,Anal_Robot_Code=10214,Anal_Robot_Code=10215),"-",HLOOKUP($C$4,$E$4:$H$12,4))</f>
        <v>455.17511794211356</v>
      </c>
      <c r="E7" s="68">
        <f>'Payload Input'!$E$31</f>
        <v>455.17511794211356</v>
      </c>
      <c r="F7" s="68">
        <f>'Payload Input'!$E$31</f>
        <v>455.17511794211356</v>
      </c>
      <c r="G7" s="147">
        <f>IF(('Misc Data'!$B$11=3),Anal_Input_2, 0)</f>
        <v>0</v>
      </c>
      <c r="H7" s="155">
        <f>I7</f>
        <v>0</v>
      </c>
      <c r="I7" s="156">
        <f>IF(('Misc Data'!$B$11=4),Anal_Input_2, 0)</f>
        <v>0</v>
      </c>
      <c r="J7" s="39"/>
      <c r="K7" s="51" t="s">
        <v>1564</v>
      </c>
      <c r="L7" s="52">
        <f>D8*SIN(RADIANS(O10))</f>
        <v>65.219101954699525</v>
      </c>
      <c r="M7" s="39"/>
      <c r="N7" s="391" t="s">
        <v>3494</v>
      </c>
      <c r="O7" s="52">
        <f>DEGREES(IF(O6=0,0,ATAN2(O6,O5)))</f>
        <v>8.2378953683429401</v>
      </c>
      <c r="Q7" s="31" t="s">
        <v>364</v>
      </c>
      <c r="R7" s="31">
        <f>IF(Axis_Type&lt;&gt;2,D7,IF(Wrist_Down_Fix=1,L7,D8))</f>
        <v>455.17511794211356</v>
      </c>
    </row>
    <row r="8" spans="1:18" ht="14.1" customHeight="1">
      <c r="A8" s="4"/>
      <c r="B8" s="14" t="s">
        <v>365</v>
      </c>
      <c r="C8" s="72">
        <f>VLOOKUP($C$3,Table1,7)</f>
        <v>1333</v>
      </c>
      <c r="D8" s="68">
        <f>HLOOKUP($C$4,$E$4:$H$12,5)</f>
        <v>455.17511794211356</v>
      </c>
      <c r="E8" s="68">
        <f>'Payload Input'!$E$32</f>
        <v>455.17511794211356</v>
      </c>
      <c r="F8" s="68">
        <f>'Payload Input'!$E$32</f>
        <v>455.17511794211356</v>
      </c>
      <c r="G8" s="147">
        <f>IF(('Misc Data'!$B$11=3),Anal_Input_3, 0)</f>
        <v>0</v>
      </c>
      <c r="H8" s="155">
        <f>I8</f>
        <v>0</v>
      </c>
      <c r="I8" s="156">
        <f>IF(('Misc Data'!$B$11=4),Anal_Input_3, 0)</f>
        <v>0</v>
      </c>
      <c r="J8" s="39"/>
      <c r="K8" s="51" t="s">
        <v>3182</v>
      </c>
      <c r="L8" s="52">
        <f>D9*SIN(RADIANS(L5))</f>
        <v>0</v>
      </c>
      <c r="M8" s="39"/>
      <c r="N8" s="391" t="s">
        <v>1493</v>
      </c>
      <c r="O8" s="52">
        <f>O7+L5</f>
        <v>8.2378953683429401</v>
      </c>
      <c r="Q8" s="31" t="s">
        <v>365</v>
      </c>
      <c r="R8" s="31">
        <f>IF(Axis_Type&lt;&gt;2,D8,IF(Wrist_Down_Fix=1,L8,D9))</f>
        <v>455.17511794211356</v>
      </c>
    </row>
    <row r="9" spans="1:18" ht="14.1" customHeight="1">
      <c r="B9" s="14" t="s">
        <v>366</v>
      </c>
      <c r="C9" s="72">
        <f>VLOOKUP($C$3,Table1,8)</f>
        <v>706</v>
      </c>
      <c r="D9" s="68">
        <f>HLOOKUP($C$4,$E$4:$H$12,6)</f>
        <v>65.219101954699525</v>
      </c>
      <c r="E9" s="68">
        <f>'Payload Input'!$E$33</f>
        <v>65.219101954699525</v>
      </c>
      <c r="F9" s="68">
        <f>'Payload Input'!$E$33</f>
        <v>65.219101954699525</v>
      </c>
      <c r="G9" s="147">
        <f>IF(('Misc Data'!$B$11=3),Anal_Input_4, 0)</f>
        <v>0</v>
      </c>
      <c r="H9" s="155">
        <f>I9</f>
        <v>0</v>
      </c>
      <c r="I9" s="156">
        <f>IF(('Misc Data'!$B$11=4),Anal_Input_4, 0)</f>
        <v>0</v>
      </c>
      <c r="J9" s="39"/>
      <c r="K9" s="51"/>
      <c r="L9" s="52"/>
      <c r="M9" s="39"/>
      <c r="N9" s="391" t="s">
        <v>2815</v>
      </c>
      <c r="O9" s="52">
        <f>O7-L5</f>
        <v>8.2378953683429401</v>
      </c>
      <c r="Q9" s="31" t="s">
        <v>366</v>
      </c>
      <c r="R9" s="31">
        <f>IF(Axis_Count=1,0,D9)</f>
        <v>65.219101954699525</v>
      </c>
    </row>
    <row r="10" spans="1:18" ht="14.1" customHeight="1" thickBot="1">
      <c r="B10" s="14" t="s">
        <v>1914</v>
      </c>
      <c r="C10" s="72">
        <f>VLOOKUP($C$3,Table1,9)</f>
        <v>141.1</v>
      </c>
      <c r="D10" s="68">
        <f>HLOOKUP($C$4,$E$4:$H$12,7)</f>
        <v>31.510626528244753</v>
      </c>
      <c r="E10" s="68">
        <f>'Payload Input'!$E$36</f>
        <v>31.510626528244753</v>
      </c>
      <c r="F10" s="68">
        <f>'Payload Input'!$E$36</f>
        <v>31.510626528244753</v>
      </c>
      <c r="G10" s="147">
        <f>IF(('Misc Data'!$B$11=3),Anal_Input_5, 0)</f>
        <v>0</v>
      </c>
      <c r="H10" s="155">
        <f>I10/H13</f>
        <v>0</v>
      </c>
      <c r="I10" s="156">
        <f>IF(('Misc Data'!$B$11=4),Anal_Input_5, 0)</f>
        <v>0</v>
      </c>
      <c r="J10" s="39"/>
      <c r="K10" s="51" t="s">
        <v>1599</v>
      </c>
      <c r="L10" s="392">
        <f>D11</f>
        <v>31.164820327664597</v>
      </c>
      <c r="M10" s="39"/>
      <c r="N10" s="453" t="s">
        <v>882</v>
      </c>
      <c r="O10" s="54">
        <f>IF(O9&lt;=90,IF(90&lt;=O8,90,O8),O9)</f>
        <v>8.2378953683429401</v>
      </c>
      <c r="Q10" s="31" t="s">
        <v>1914</v>
      </c>
      <c r="R10" s="31">
        <f>IF(Axis_Type&lt;&gt;2,D10,IF(Wrist_Down_Fix=1,L10,D11))</f>
        <v>31.510626528244753</v>
      </c>
    </row>
    <row r="11" spans="1:18" ht="14.1" customHeight="1">
      <c r="B11" s="14" t="s">
        <v>1915</v>
      </c>
      <c r="C11" s="72">
        <f>VLOOKUP($C$3,Table1,10)</f>
        <v>141.1</v>
      </c>
      <c r="D11" s="68">
        <f>HLOOKUP($C$4,$E$4:$H$12,8)</f>
        <v>31.164820327664597</v>
      </c>
      <c r="E11" s="68">
        <f>'Payload Input'!$E$37</f>
        <v>31.164820327664597</v>
      </c>
      <c r="F11" s="68">
        <f>'Payload Input'!$E$37</f>
        <v>31.164820327664597</v>
      </c>
      <c r="G11" s="147">
        <f>IF(('Misc Data'!$B$11=3),Anal_Input_6, 0)</f>
        <v>0</v>
      </c>
      <c r="H11" s="155">
        <f>I11/H13</f>
        <v>0</v>
      </c>
      <c r="I11" s="156">
        <f>IF(('Misc Data'!$B$11=4),Anal_Input_6, 0)</f>
        <v>0</v>
      </c>
      <c r="J11" s="39"/>
      <c r="K11" s="51" t="s">
        <v>1060</v>
      </c>
      <c r="L11" s="392">
        <f>D12</f>
        <v>1.2182287131010721</v>
      </c>
      <c r="M11" s="39"/>
      <c r="N11" s="151"/>
      <c r="Q11" s="31" t="s">
        <v>1915</v>
      </c>
      <c r="R11" s="31">
        <f>IF(Axis_Type&lt;&gt;2,D11,IF(Wrist_Down_Fix=1,L11,D12))</f>
        <v>31.164820327664597</v>
      </c>
    </row>
    <row r="12" spans="1:18" s="19" customFormat="1" ht="14.1" customHeight="1" thickBot="1">
      <c r="A12" s="5"/>
      <c r="B12" s="16" t="s">
        <v>554</v>
      </c>
      <c r="C12" s="73">
        <f>VLOOKUP($C$3,Table1,11)</f>
        <v>78.400000000000006</v>
      </c>
      <c r="D12" s="88">
        <f>HLOOKUP($C$4,$E$4:$H$12,9)</f>
        <v>1.2182287131010721</v>
      </c>
      <c r="E12" s="69">
        <f>'Payload Input'!$E$38</f>
        <v>1.2182287131010721</v>
      </c>
      <c r="F12" s="69">
        <f>'Payload Input'!$E$38</f>
        <v>1.2182287131010721</v>
      </c>
      <c r="G12" s="148">
        <f>IF(('Misc Data'!$B$11=3),Anal_Input_7, 0)</f>
        <v>0</v>
      </c>
      <c r="H12" s="157">
        <f>I12/H13</f>
        <v>0</v>
      </c>
      <c r="I12" s="158">
        <f>IF(('Misc Data'!$B$11=4),Anal_Input_7, 0)</f>
        <v>0</v>
      </c>
      <c r="J12" s="32"/>
      <c r="K12" s="53"/>
      <c r="L12" s="393"/>
      <c r="M12" s="5"/>
      <c r="N12" s="151"/>
      <c r="O12" s="5"/>
      <c r="P12" s="5"/>
      <c r="Q12" s="31" t="s">
        <v>554</v>
      </c>
      <c r="R12" s="31">
        <f>IF(Axis_Count=1,0,D12)</f>
        <v>1.2182287131010721</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42.5</v>
      </c>
      <c r="F20" s="39"/>
      <c r="I20" s="151"/>
      <c r="J20" s="39"/>
      <c r="K20" s="35"/>
      <c r="L20" s="400"/>
      <c r="M20" s="39"/>
      <c r="O20" s="400"/>
      <c r="Q20" s="31" t="s">
        <v>310</v>
      </c>
      <c r="R20" s="387">
        <f>D20</f>
        <v>42.5</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34</v>
      </c>
      <c r="E22" s="341">
        <f>TRUNC(D8/$C$7*100,0)</f>
        <v>34</v>
      </c>
      <c r="F22" s="341">
        <f>TRUNC(L7/$C$7*100,0)</f>
        <v>4</v>
      </c>
      <c r="G22" s="39"/>
      <c r="H22" s="39"/>
      <c r="I22" s="458" t="s">
        <v>493</v>
      </c>
      <c r="J22" s="39"/>
      <c r="K22" s="39"/>
      <c r="L22" s="455"/>
      <c r="M22" s="39"/>
      <c r="N22" s="337"/>
      <c r="O22" s="400"/>
      <c r="P22" s="39"/>
      <c r="Q22" s="55" t="s">
        <v>490</v>
      </c>
      <c r="R22" s="397">
        <f>IF(OR(Anal_Robot_Code=10111,Anal_Robot_Code=10214,Anal_Robot_Code=10215),I22,IF(Axis_Type&lt;&gt;2,D22,IF(Wrist_Down_Fix=1,F22,E22)))</f>
        <v>34</v>
      </c>
    </row>
    <row r="23" spans="1:18" s="4" customFormat="1" ht="14.1" customHeight="1">
      <c r="A23" s="5"/>
      <c r="B23" s="14" t="s">
        <v>491</v>
      </c>
      <c r="C23" s="65"/>
      <c r="D23" s="340">
        <f>IF(Wrist_Down_Fix=1,IF(C8&lt;D8,101,0),TRUNC(D8/$C$8*100,0))</f>
        <v>34</v>
      </c>
      <c r="E23" s="341">
        <f>TRUNC(D9/$C$8*100,0)</f>
        <v>4</v>
      </c>
      <c r="F23" s="341">
        <v>0</v>
      </c>
      <c r="G23" s="458" t="str">
        <f>IF(D23=0,"-","∞")</f>
        <v>∞</v>
      </c>
      <c r="H23" s="39"/>
      <c r="I23" s="39"/>
      <c r="J23" s="39"/>
      <c r="K23" s="39"/>
      <c r="L23" s="455"/>
      <c r="M23" s="39"/>
      <c r="N23" s="39"/>
      <c r="O23" s="400"/>
      <c r="P23" s="39"/>
      <c r="Q23" s="56" t="s">
        <v>491</v>
      </c>
      <c r="R23" s="459">
        <f>IF(Axis_Type&lt;&gt;2,IF(Wrist_Down_Fix=1,G23,D23),IF(Wrist_Down_Fix=1,F23,E23))</f>
        <v>34</v>
      </c>
    </row>
    <row r="24" spans="1:18" ht="14.1" customHeight="1" thickBot="1">
      <c r="B24" s="16" t="s">
        <v>492</v>
      </c>
      <c r="C24" s="66"/>
      <c r="D24" s="323">
        <f>TRUNC(D9/$C$9*100,0)</f>
        <v>9</v>
      </c>
      <c r="F24" s="39"/>
      <c r="G24" s="39"/>
      <c r="H24" s="39"/>
      <c r="I24" s="39"/>
      <c r="J24" s="39"/>
      <c r="K24" s="39"/>
      <c r="L24" s="455"/>
      <c r="M24" s="39"/>
      <c r="N24" s="414"/>
      <c r="O24" s="400"/>
      <c r="P24" s="39"/>
      <c r="Q24" s="48" t="s">
        <v>492</v>
      </c>
      <c r="R24" s="397">
        <f>IF(Axis_Count=1,0,D24)</f>
        <v>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22.400000000000002</v>
      </c>
      <c r="E26" s="341">
        <f>ROUNDUP(D11/$C10*100,1)</f>
        <v>22.1</v>
      </c>
      <c r="F26" s="341">
        <f>ROUNDUP(L10/$C$10*100,1)</f>
        <v>22.1</v>
      </c>
      <c r="G26" s="39"/>
      <c r="H26" s="39"/>
      <c r="I26" s="39"/>
      <c r="J26" s="39"/>
      <c r="K26" s="39"/>
      <c r="L26" s="455"/>
      <c r="M26" s="39"/>
      <c r="N26" s="39"/>
      <c r="O26" s="400"/>
      <c r="P26" s="39"/>
      <c r="Q26" s="55" t="s">
        <v>490</v>
      </c>
      <c r="R26" s="397">
        <f>IF(Axis_Type&lt;&gt;2,D26,IF(Wrist_Down_Fix=1,F26,E26))</f>
        <v>22.400000000000002</v>
      </c>
    </row>
    <row r="27" spans="1:18" ht="14.1" customHeight="1">
      <c r="B27" s="14" t="s">
        <v>491</v>
      </c>
      <c r="C27" s="65">
        <f>ROUND(C11/$G74*100,)</f>
        <v>66</v>
      </c>
      <c r="D27" s="340">
        <f>ROUNDUP(D11/$C11*100,1)</f>
        <v>22.1</v>
      </c>
      <c r="E27" s="341">
        <f>ROUNDUP(D12/$C11*100,1)</f>
        <v>0.9</v>
      </c>
      <c r="F27" s="341">
        <f>ROUNDUP(L11/$C11*100,1)</f>
        <v>0.9</v>
      </c>
      <c r="G27" s="39"/>
      <c r="H27" s="39"/>
      <c r="I27" s="39"/>
      <c r="J27" s="39"/>
      <c r="K27" s="39"/>
      <c r="L27" s="455"/>
      <c r="M27" s="39"/>
      <c r="N27" s="39"/>
      <c r="O27" s="400"/>
      <c r="P27" s="39"/>
      <c r="Q27" s="56" t="s">
        <v>491</v>
      </c>
      <c r="R27" s="397">
        <f>IF(Axis_Type&lt;&gt;2,D27,IF(Wrist_Down_Fix=1,F27,E27))</f>
        <v>22.1</v>
      </c>
    </row>
    <row r="28" spans="1:18" s="19" customFormat="1" ht="14.1" customHeight="1" thickBot="1">
      <c r="A28" s="5"/>
      <c r="B28" s="16" t="s">
        <v>492</v>
      </c>
      <c r="C28" s="66">
        <f>ROUND(C12/$G75*100,)</f>
        <v>76</v>
      </c>
      <c r="D28" s="323">
        <f>ROUNDUP(D12/$C12*100,1)</f>
        <v>1.6</v>
      </c>
      <c r="E28" s="5"/>
      <c r="F28" s="39"/>
      <c r="G28" s="5"/>
      <c r="H28" s="5"/>
      <c r="I28" s="5"/>
      <c r="J28" s="39"/>
      <c r="K28" s="39"/>
      <c r="L28" s="455"/>
      <c r="M28" s="39"/>
      <c r="N28" s="5"/>
      <c r="O28" s="5"/>
      <c r="P28" s="5"/>
      <c r="Q28" s="48" t="s">
        <v>492</v>
      </c>
      <c r="R28" s="398">
        <f>IF(Axis_Count=1,0,D28)</f>
        <v>1.6</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584.36868670791705</v>
      </c>
      <c r="E65" s="362">
        <f>D8+(D11*$D$73)</f>
        <v>582.95088128553834</v>
      </c>
      <c r="F65" s="135"/>
      <c r="G65" s="135"/>
      <c r="J65" s="39"/>
      <c r="K65" s="400"/>
      <c r="L65" s="135"/>
      <c r="M65" s="135"/>
      <c r="N65" s="39"/>
    </row>
    <row r="66" spans="1:18" s="4" customFormat="1" ht="14.1" customHeight="1">
      <c r="A66" s="5"/>
      <c r="B66" s="37" t="s">
        <v>491</v>
      </c>
      <c r="C66" s="38">
        <f xml:space="preserve"> C8+(C11*$D$74)</f>
        <v>1726.6689999999999</v>
      </c>
      <c r="D66" s="38">
        <f xml:space="preserve"> D8+(D11*$D$74)</f>
        <v>542.12496665629783</v>
      </c>
      <c r="E66" s="362">
        <f xml:space="preserve"> D9+(D12*$D$74)</f>
        <v>68.61796006425152</v>
      </c>
      <c r="F66" s="135"/>
      <c r="G66" s="135"/>
      <c r="H66" s="5"/>
      <c r="I66" s="5"/>
      <c r="J66" s="39"/>
      <c r="K66" s="400"/>
      <c r="L66" s="135"/>
      <c r="M66" s="135"/>
      <c r="N66" s="39"/>
      <c r="O66" s="5"/>
      <c r="P66" s="5"/>
      <c r="Q66" s="5"/>
      <c r="R66" s="5"/>
    </row>
    <row r="67" spans="1:18" ht="14.1" customHeight="1">
      <c r="B67" s="37" t="s">
        <v>492</v>
      </c>
      <c r="C67" s="38">
        <f>C9+(C12*$D$75)</f>
        <v>935.71199999999999</v>
      </c>
      <c r="D67" s="38">
        <f>D9+(D12*$D$75)</f>
        <v>68.788512084085667</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89.4</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-7.1870000000000003</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1.9379999999999999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27.917000000000002</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76.337000000000003</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61.637</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7.3760000000000003</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42.5</v>
      </c>
      <c r="D9" s="3">
        <v>0</v>
      </c>
      <c r="E9" s="3">
        <f>IF(H9&gt;$F$8, $F$8-$E$8, IF(H9&gt;$E$8, H9-$E$8, 0))</f>
        <v>0</v>
      </c>
      <c r="F9" s="3">
        <f>IF(H9&gt;$F$8, H9-$F$8, 0)</f>
        <v>0</v>
      </c>
      <c r="H9" s="3">
        <f>'Wrist Load Analysis'!R20</f>
        <v>42.5</v>
      </c>
    </row>
    <row r="11" spans="1:8">
      <c r="A11" s="3" t="s">
        <v>348</v>
      </c>
      <c r="B11" s="3" t="s">
        <v>2344</v>
      </c>
      <c r="C11" s="3">
        <f>IF(H11&gt;$E$8, $E$8, H11)</f>
        <v>34</v>
      </c>
      <c r="D11" s="3">
        <v>0</v>
      </c>
      <c r="E11" s="3">
        <f>IF(H11&gt;$F$8, $F$8-$E$8, IF(H11&gt;$E$8, H11-$E$8, 0))</f>
        <v>0</v>
      </c>
      <c r="F11" s="3">
        <f>IF(H11&gt;$F$8, H11-$F$8, 0)</f>
        <v>0</v>
      </c>
      <c r="H11" s="3">
        <f>IF(Anal_Robot_Code=10111,0,'Wrist Load Analysis'!R22)</f>
        <v>34</v>
      </c>
    </row>
    <row r="12" spans="1:8">
      <c r="B12" s="3" t="s">
        <v>1618</v>
      </c>
      <c r="C12" s="3">
        <f>IF(H12&gt;$E$8, $E$8, H12)</f>
        <v>34</v>
      </c>
      <c r="D12" s="3">
        <v>0</v>
      </c>
      <c r="E12" s="3">
        <f>IF(H12&gt;$F$8, $F$8-$E$8, IF(H12&gt;$E$8, H12-$E$8, 0))</f>
        <v>0</v>
      </c>
      <c r="F12" s="3">
        <f>IF(H12&gt;$F$8, H12-$F$8, 0)</f>
        <v>0</v>
      </c>
      <c r="H12" s="3">
        <f>'Wrist Load Analysis'!R23</f>
        <v>34</v>
      </c>
    </row>
    <row r="13" spans="1:8">
      <c r="B13" s="3" t="str">
        <f>IF(Axis_Count=1,"","J6")</f>
        <v>J6</v>
      </c>
      <c r="C13" s="3">
        <f>IF(H13&gt;$E$8, $E$8, H13)</f>
        <v>9</v>
      </c>
      <c r="D13" s="3">
        <v>0</v>
      </c>
      <c r="E13" s="3">
        <f>IF(H13&gt;$F$8, $F$8-$E$8, IF(H13&gt;$E$8, H13-$E$8, 0))</f>
        <v>0</v>
      </c>
      <c r="F13" s="3">
        <f>IF(H13&gt;$F$8, H13-$F$8, 0)</f>
        <v>0</v>
      </c>
      <c r="H13" s="3">
        <f>'Wrist Load Analysis'!R24</f>
        <v>9</v>
      </c>
    </row>
    <row r="15" spans="1:8">
      <c r="A15" s="3" t="s">
        <v>488</v>
      </c>
      <c r="B15" s="3" t="s">
        <v>2344</v>
      </c>
      <c r="C15" s="3">
        <f>IF(H15&gt;E8, E8, H15)</f>
        <v>22.400000000000002</v>
      </c>
      <c r="D15" s="3">
        <v>0</v>
      </c>
      <c r="E15" s="3">
        <f>IF(H15&gt;$F$8, $F$8-$E$8, IF(H15&gt;$E$8, H15-$E$8, 0))</f>
        <v>0</v>
      </c>
      <c r="F15" s="3">
        <f>IF(H15&gt;$F$8, H15-$F$8, 0)</f>
        <v>0</v>
      </c>
      <c r="H15" s="3">
        <f>'Wrist Load Analysis'!R26</f>
        <v>22.400000000000002</v>
      </c>
    </row>
    <row r="16" spans="1:8">
      <c r="B16" s="3" t="s">
        <v>1618</v>
      </c>
      <c r="C16" s="3">
        <f>IF(H16&gt;E8, E8, H16)</f>
        <v>22.1</v>
      </c>
      <c r="D16" s="3">
        <v>0</v>
      </c>
      <c r="E16" s="3">
        <f>IF(H16&gt;$F$8, $F$8-$E$8, IF(H16&gt;$E$8, H16-$E$8, 0))</f>
        <v>0</v>
      </c>
      <c r="F16" s="3">
        <f>IF(H16&gt;$F$8, H16-$F$8, 0)</f>
        <v>0</v>
      </c>
      <c r="H16" s="3">
        <f>'Wrist Load Analysis'!R27</f>
        <v>22.1</v>
      </c>
    </row>
    <row r="17" spans="1:16">
      <c r="B17" s="3" t="str">
        <f>IF(Axis_Count=1,"","J6")</f>
        <v>J6</v>
      </c>
      <c r="C17" s="3">
        <f>IF(H17&gt;E8, E8, H17)</f>
        <v>1.6</v>
      </c>
      <c r="D17" s="3">
        <v>0</v>
      </c>
      <c r="E17" s="3">
        <f>IF(H17&gt;$F$8, $F$8-$E$8, IF(H17&gt;$E$8, H17-$E$8, 0))</f>
        <v>0</v>
      </c>
      <c r="F17" s="3">
        <f>IF(H17&gt;$F$8, H17-$F$8, 0)</f>
        <v>0</v>
      </c>
      <c r="H17" s="3">
        <f>'Wrist Load Analysis'!R28</f>
        <v>1.6</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455.17511794211356</v>
      </c>
      <c r="G25" s="209">
        <f>'Wrist Load Analysis'!R10</f>
        <v>31.510626528244753</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455.17511794211356</v>
      </c>
      <c r="G29" s="209">
        <f>'Wrist Load Analysis'!R11</f>
        <v>31.164820327664597</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65.219101954699525</v>
      </c>
      <c r="G33" s="209">
        <f>'Wrist Load Analysis'!R12</f>
        <v>1.2182287131010721</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2016-12-07T00:28:03Z</cp:lastPrinted>
  <dcterms:created xsi:type="dcterms:W3CDTF">1999-12-01T08:04:04Z</dcterms:created>
  <dcterms:modified xsi:type="dcterms:W3CDTF">2016-12-07T00:28:08Z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