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4" i="60" l="1"/>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c r="O50" i="37" s="1"/>
  <c r="P50" i="37" s="1"/>
  <c r="H78" i="37"/>
  <c r="I78" i="37"/>
  <c r="G78" i="37"/>
  <c r="B76" i="37"/>
  <c r="F77" i="37"/>
  <c r="C77" i="37"/>
  <c r="D77" i="37"/>
  <c r="E77" i="37"/>
  <c r="B82" i="37"/>
  <c r="F81" i="37"/>
  <c r="E81" i="37"/>
  <c r="C81" i="37"/>
  <c r="D81" i="37"/>
  <c r="J79" i="37"/>
  <c r="K79" i="37"/>
  <c r="L79" i="37" s="1"/>
  <c r="H80" i="37"/>
  <c r="I80" i="37"/>
  <c r="G80" i="37"/>
  <c r="Q50" i="37" l="1"/>
  <c r="R50" i="37" s="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s="1"/>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l="1"/>
  <c r="R66" i="37" s="1"/>
  <c r="S66" i="37"/>
  <c r="X66" i="37" s="1"/>
  <c r="U66" i="37" l="1"/>
  <c r="T66" i="37"/>
  <c r="Y66" i="37" s="1"/>
  <c r="V66" i="37"/>
  <c r="W66" i="37"/>
  <c r="Z66" i="37" l="1"/>
  <c r="AA66" i="37"/>
  <c r="AB66" i="37" s="1"/>
  <c r="O67" i="37" s="1"/>
  <c r="Q67" i="37" s="1"/>
  <c r="P67" i="37" l="1"/>
  <c r="T67" i="37" s="1"/>
  <c r="Y67" i="37" s="1"/>
  <c r="V67" i="37" l="1"/>
  <c r="W67" i="37"/>
  <c r="S67" i="37"/>
  <c r="X67" i="37" s="1"/>
  <c r="R67" i="37"/>
  <c r="U67" i="37"/>
  <c r="AA67" i="37" l="1"/>
  <c r="Z67" i="37"/>
  <c r="AB67" i="37" l="1"/>
  <c r="O68" i="37" s="1"/>
  <c r="P68" i="37" s="1"/>
  <c r="Q68" i="37" l="1"/>
  <c r="W68" i="37" s="1"/>
  <c r="U68" i="37"/>
  <c r="S68" i="37"/>
  <c r="X68" i="37" s="1"/>
  <c r="T68" i="37"/>
  <c r="Y68" i="37" s="1"/>
  <c r="V68" i="37"/>
  <c r="R68" i="37" l="1"/>
  <c r="Z68" i="37" s="1"/>
  <c r="AA68" i="37" l="1"/>
  <c r="AB68" i="37" s="1"/>
  <c r="O69" i="37" s="1"/>
  <c r="Q69" i="37" s="1"/>
  <c r="P69" i="37" l="1"/>
  <c r="R69" i="37" s="1"/>
  <c r="S69" i="37"/>
  <c r="X69" i="37" s="1"/>
  <c r="V69" i="37" l="1"/>
  <c r="T69" i="37"/>
  <c r="Y69" i="37" s="1"/>
  <c r="U69" i="37"/>
  <c r="W69" i="37"/>
  <c r="AA69" i="37" l="1"/>
  <c r="Z69" i="37"/>
  <c r="AB69" i="37" l="1"/>
  <c r="O70" i="37" s="1"/>
  <c r="P70" i="37" s="1"/>
  <c r="N63" i="37"/>
  <c r="B89" i="37" s="1"/>
  <c r="E89" i="37" s="1"/>
  <c r="Q70" i="37"/>
  <c r="V70" i="37" s="1"/>
  <c r="F89" i="37"/>
  <c r="K36" i="37" l="1"/>
  <c r="D89" i="37"/>
  <c r="L89" i="37" s="1"/>
  <c r="C89" i="37"/>
  <c r="H89" i="37" s="1"/>
  <c r="S70" i="37"/>
  <c r="X70" i="37" s="1"/>
  <c r="U70" i="37"/>
  <c r="W70" i="37"/>
  <c r="T70" i="37"/>
  <c r="Y70" i="37" s="1"/>
  <c r="R70" i="37"/>
  <c r="K89" i="37" l="1"/>
  <c r="G89" i="37"/>
  <c r="I89" i="37"/>
  <c r="J89" i="37" s="1"/>
  <c r="I36" i="37" s="1"/>
  <c r="E36" i="37" s="1"/>
  <c r="Z70" i="37"/>
  <c r="AA70" i="37"/>
  <c r="N89" i="37"/>
  <c r="J36" i="37" s="1"/>
  <c r="AB70" i="37" l="1"/>
  <c r="O89" i="37"/>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<sst xmlns="http://schemas.openxmlformats.org/spreadsheetml/2006/main" count="6673" uniqueCount="4044">
  <si>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</si>
  <si>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</si>
  <si>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</si>
  <si>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</si>
  <si>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</si>
  <si>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</si>
  <si>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</si>
  <si>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</si>
  <si>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</si>
  <si>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</si>
  <si>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</si>
  <si>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</si>
  <si>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</si>
  <si>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</si>
  <si>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</si>
  <si>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</si>
  <si>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</si>
  <si>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</si>
  <si>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</si>
  <si>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</si>
  <si>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</si>
  <si>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</si>
  <si>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</si>
  <si>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</si>
  <si>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</si>
  <si>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</si>
  <si>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</si>
  <si>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</si>
  <si>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</si>
  <si>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</si>
  <si>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</si>
  <si>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</si>
  <si>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</si>
  <si>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</si>
  <si>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</si>
  <si>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</si>
  <si>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</si>
  <si>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</si>
  <si>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</si>
  <si>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</si>
  <si>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</si>
  <si>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</si>
  <si>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</si>
  <si>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</si>
  <si>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</si>
  <si>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</si>
  <si>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</si>
  <si>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</si>
  <si>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</si>
  <si>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</si>
  <si>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</si>
  <si>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</si>
  <si>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</si>
  <si>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</si>
  <si>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</si>
  <si>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</si>
  <si>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</si>
  <si>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</si>
  <si>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</si>
  <si>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</si>
  <si>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</si>
  <si>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</si>
  <si>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</si>
  <si>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</si>
  <si>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</si>
  <si>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</si>
  <si>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</si>
  <si>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</si>
  <si>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</si>
  <si>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</si>
  <si>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</si>
  <si>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</si>
  <si>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</si>
  <si>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</si>
  <si>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</si>
  <si>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</si>
  <si>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</si>
  <si>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</si>
  <si>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</si>
  <si>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</si>
  <si>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</si>
  <si>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</si>
  <si>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</si>
  <si>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</si>
  <si>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</si>
  <si>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</si>
  <si>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</si>
  <si>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</si>
  <si>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</si>
  <si>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</si>
  <si>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</si>
  <si>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</si>
  <si>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</si>
  <si>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</si>
  <si>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</si>
  <si>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</si>
  <si>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</si>
  <si>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</si>
  <si>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</si>
  <si>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</si>
  <si>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</si>
  <si>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</si>
  <si>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</si>
  <si>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</si>
  <si>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</si>
  <si>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</si>
  <si>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</si>
  <si>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</si>
  <si>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</si>
  <si>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</si>
  <si>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</si>
  <si>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</si>
  <si>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</si>
  <si>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</si>
  <si>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</si>
  <si>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</si>
  <si>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</si>
  <si>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</si>
  <si>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</si>
  <si>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</si>
  <si>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</si>
  <si>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</si>
  <si>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</si>
  <si>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</si>
  <si>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</si>
  <si>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</si>
  <si>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</si>
  <si>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</si>
  <si>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</si>
  <si>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</si>
  <si>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</si>
  <si>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</si>
  <si>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</si>
  <si>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</si>
  <si>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</si>
  <si>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</si>
  <si>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</si>
  <si>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</si>
  <si>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</si>
  <si>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</si>
  <si>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</si>
  <si>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</si>
  <si>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</si>
  <si>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</si>
  <si>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</si>
  <si>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</si>
  <si>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</si>
  <si>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</si>
  <si>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</si>
  <si>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</si>
  <si>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</si>
  <si>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</si>
  <si>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</si>
  <si>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</si>
  <si>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</si>
  <si>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</si>
  <si>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</si>
  <si>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</si>
  <si>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</si>
  <si>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</si>
  <si>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</si>
  <si>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</si>
  <si>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</si>
  <si>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</si>
  <si>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</si>
  <si>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</si>
  <si>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</si>
  <si>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</si>
  <si>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</si>
  <si>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</si>
  <si>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</si>
  <si>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</si>
  <si>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</si>
  <si>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</si>
  <si>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</si>
  <si>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</si>
  <si>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</si>
  <si>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</si>
  <si>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</si>
  <si>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</si>
  <si>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</si>
  <si>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</si>
  <si>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</si>
  <si>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</si>
  <si>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</si>
  <si>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</si>
  <si>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</si>
  <si>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</si>
  <si>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</si>
  <si>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</si>
  <si>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</si>
  <si>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</si>
  <si>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</si>
  <si>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</si>
  <si>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</si>
  <si>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</si>
  <si>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</si>
  <si>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</si>
  <si>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</si>
  <si>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</si>
  <si>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</si>
  <si>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</si>
  <si>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</si>
  <si>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</si>
  <si>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</si>
  <si>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</si>
  <si>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</si>
  <si>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</si>
  <si>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</si>
  <si>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</si>
  <si>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</si>
  <si>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</si>
  <si>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</si>
  <si>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</si>
  <si>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</si>
  <si>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</si>
  <si>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</si>
  <si>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</si>
  <si>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</si>
  <si>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</si>
  <si>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</si>
  <si>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</si>
  <si>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</si>
  <si>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</si>
  <si>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</si>
  <si>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</si>
  <si>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</si>
  <si>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</si>
  <si>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</si>
  <si>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</si>
  <si>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</si>
  <si>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</si>
  <si>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</si>
  <si>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</si>
  <si>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</si>
  <si>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</si>
  <si>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</si>
  <si>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</si>
  <si>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</si>
  <si>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</si>
  <si>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</si>
  <si>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</si>
  <si>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</si>
  <si>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</si>
  <si>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</si>
  <si>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</si>
  <si>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</si>
  <si>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</si>
  <si>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</si>
  <si>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</si>
  <si>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</si>
  <si>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</si>
  <si>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</si>
  <si>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</si>
  <si>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</si>
  <si>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</si>
  <si>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</si>
  <si>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</si>
  <si>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</si>
  <si>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</si>
  <si>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</si>
  <si>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</si>
  <si>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</si>
  <si>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</si>
  <si>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</si>
  <si>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</si>
  <si>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</si>
  <si>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</si>
  <si>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</si>
  <si>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</si>
  <si>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</si>
  <si>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</si>
  <si>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</si>
  <si>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</si>
  <si>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</si>
  <si>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</si>
  <si>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</si>
  <si>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</si>
  <si>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</si>
  <si>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</si>
  <si>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</si>
  <si>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</si>
  <si>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</si>
  <si>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</si>
  <si>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</si>
  <si>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</si>
  <si>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</si>
  <si>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</si>
  <si>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</si>
  <si>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</si>
  <si>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</si>
  <si>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</si>
  <si>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</si>
  <si>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</si>
  <si>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</si>
  <si>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</si>
  <si>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</si>
  <si>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</si>
  <si>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</si>
  <si>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</si>
  <si>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</si>
  <si>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</si>
  <si>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</si>
  <si>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</si>
  <si>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</si>
  <si>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</si>
  <si>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</si>
  <si>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</si>
  <si>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</si>
  <si>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</si>
  <si>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</si>
  <si>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</si>
  <si>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</si>
  <si>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</si>
  <si>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</si>
  <si>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</si>
  <si>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</si>
  <si>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</si>
  <si>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</si>
  <si>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</si>
  <si>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</si>
  <si>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</si>
  <si>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</si>
  <si>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</si>
  <si>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</si>
  <si>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</si>
  <si>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</si>
  <si>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</si>
  <si>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</si>
  <si>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</si>
  <si>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</si>
  <si>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</si>
  <si>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</si>
  <si>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</si>
  <si>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</si>
  <si>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</si>
  <si>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</si>
  <si>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</si>
  <si>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</si>
  <si>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</si>
  <si>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</si>
  <si>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</si>
  <si>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</si>
  <si>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</si>
  <si>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</si>
  <si>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</si>
  <si>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</si>
  <si>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</si>
  <si>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</si>
  <si>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</si>
  <si>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</si>
  <si>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</si>
  <si>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</si>
  <si>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</si>
  <si>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</si>
  <si>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</si>
  <si>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</si>
  <si>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</si>
  <si>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</si>
  <si>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</si>
  <si>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</si>
  <si>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</si>
  <si>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</si>
  <si>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</si>
  <si>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</si>
  <si>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</si>
  <si>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</si>
  <si>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</si>
  <si>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</si>
  <si>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</si>
  <si>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</si>
  <si>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</si>
  <si>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</si>
  <si>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</si>
  <si>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</si>
  <si>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</si>
  <si>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</si>
  <si>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</si>
  <si>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</si>
  <si>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</si>
  <si>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</si>
  <si>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</si>
  <si>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</si>
  <si>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</si>
  <si>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</si>
  <si>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</si>
  <si>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</si>
  <si>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</si>
  <si>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</si>
  <si>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</si>
  <si>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</si>
  <si>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</si>
  <si>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</si>
  <si>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</si>
  <si>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</si>
  <si>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</si>
  <si>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</si>
  <si>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</si>
  <si>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</si>
  <si>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</si>
  <si>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</si>
  <si>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</si>
  <si>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</si>
  <si>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</si>
  <si>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</si>
  <si>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</si>
  <si>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</si>
  <si>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</si>
  <si>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</si>
  <si>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</si>
  <si>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</si>
  <si>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</si>
  <si>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</si>
  <si>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</si>
  <si>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</si>
  <si>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</si>
  <si>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</si>
  <si>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</si>
  <si>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</si>
  <si>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</si>
  <si>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</si>
  <si>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</si>
  <si>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</si>
  <si>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</si>
  <si>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</si>
  <si>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</si>
  <si>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</si>
  <si>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</si>
  <si>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</si>
  <si>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</si>
  <si>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</si>
  <si>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</si>
  <si>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</si>
  <si>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</si>
  <si>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</si>
  <si>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</si>
  <si>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</si>
  <si>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</si>
  <si>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</si>
  <si>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</si>
  <si>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</si>
  <si>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</si>
  <si>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</si>
  <si>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</si>
  <si>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</si>
  <si>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</si>
  <si>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</si>
  <si>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</si>
  <si>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</si>
  <si>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</si>
  <si>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</si>
  <si>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</si>
  <si>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</si>
  <si>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</si>
  <si>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</si>
  <si>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</si>
  <si>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</si>
  <si>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</si>
  <si>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</si>
  <si>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</si>
  <si>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</si>
  <si>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</si>
  <si>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</si>
  <si>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</si>
  <si>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</si>
  <si>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</si>
  <si>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</si>
  <si>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</si>
  <si>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</si>
  <si>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</si>
  <si>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</si>
  <si>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</si>
  <si>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</si>
  <si>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</si>
  <si>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</si>
  <si>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</si>
  <si>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</si>
  <si>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</si>
  <si>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</si>
  <si>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</si>
  <si>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</si>
  <si>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</si>
  <si>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</si>
  <si>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</si>
  <si>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</si>
  <si>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</si>
  <si>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</si>
  <si>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</si>
  <si>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</si>
  <si>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</si>
  <si>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</si>
  <si>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</si>
  <si>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</si>
  <si>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</si>
  <si>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</si>
  <si>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</si>
  <si>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</si>
  <si>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</si>
  <si>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</si>
  <si>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</si>
  <si>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</si>
  <si>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</si>
  <si>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</si>
  <si>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</si>
  <si>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</si>
  <si>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</si>
  <si>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</si>
  <si>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</si>
  <si>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</si>
  <si>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</si>
  <si>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</si>
  <si>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</si>
  <si>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</si>
  <si>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</si>
  <si>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</si>
  <si>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</si>
  <si>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</si>
  <si>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</si>
  <si>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</si>
  <si>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</si>
  <si>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</si>
  <si>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</si>
  <si>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</si>
  <si>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</si>
  <si>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</si>
  <si>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</si>
  <si>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</si>
  <si>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</si>
  <si>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</si>
  <si>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</si>
  <si>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</si>
  <si>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</si>
  <si>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</si>
  <si>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</si>
  <si>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</si>
  <si>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</si>
  <si>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</si>
  <si>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</si>
  <si>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</si>
  <si>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</si>
  <si>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</si>
  <si>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</si>
  <si>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</si>
  <si>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</si>
  <si>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</si>
  <si>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</si>
  <si>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</si>
  <si>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</si>
  <si>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</si>
  <si>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</si>
  <si>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</si>
  <si>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</si>
  <si>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</si>
  <si>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</si>
  <si>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</si>
  <si>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</si>
  <si>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</si>
  <si>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</si>
  <si>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</si>
  <si>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</si>
  <si>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</si>
  <si>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</si>
  <si>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</si>
  <si>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</si>
  <si>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</si>
  <si>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</si>
  <si>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</si>
  <si>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</si>
  <si>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</si>
  <si>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</si>
  <si>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</si>
  <si>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</si>
  <si>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</si>
  <si>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</si>
  <si>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</si>
  <si>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</si>
  <si>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</si>
  <si>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</si>
  <si>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</si>
  <si>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</si>
  <si>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</si>
  <si>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</si>
  <si>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</si>
  <si>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</si>
  <si>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</si>
  <si>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</si>
  <si>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</si>
  <si>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</si>
  <si>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</si>
  <si>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</si>
  <si>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</si>
  <si>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</si>
  <si>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</si>
  <si>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</si>
  <si>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</si>
  <si>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</si>
  <si>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</si>
  <si>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</si>
  <si>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</si>
  <si>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</si>
  <si>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</si>
  <si>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</si>
  <si>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</si>
  <si>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</si>
  <si>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</si>
  <si>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</si>
  <si>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</si>
  <si>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</si>
  <si>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</si>
  <si>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</si>
  <si>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</si>
  <si>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</si>
  <si>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</si>
  <si>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</si>
  <si>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</si>
  <si>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</si>
  <si>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</si>
  <si>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</si>
  <si>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</si>
  <si>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</si>
  <si>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</si>
  <si>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</si>
  <si>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</si>
  <si>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</si>
  <si>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</si>
  <si>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</si>
  <si>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</si>
  <si>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</si>
  <si>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</si>
  <si>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</si>
  <si>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</si>
  <si>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</si>
  <si>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</si>
  <si>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</si>
  <si>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</si>
  <si>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</si>
  <si>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</si>
  <si>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</si>
  <si>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</si>
  <si>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</si>
  <si>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</si>
  <si>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</si>
  <si>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</si>
  <si>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</si>
  <si>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</si>
  <si>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</si>
  <si>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</si>
  <si>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</si>
  <si>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</si>
  <si>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</si>
  <si>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</si>
  <si>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</si>
  <si>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</si>
  <si>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</si>
  <si>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</si>
  <si>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</si>
  <si>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</si>
  <si>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</si>
  <si>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</si>
  <si>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</si>
  <si>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</si>
  <si>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</si>
  <si>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</si>
  <si>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</si>
  <si>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</si>
  <si>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</si>
  <si>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</si>
  <si>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</si>
  <si>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</si>
  <si>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</si>
  <si>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</si>
  <si>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</si>
  <si>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</si>
  <si>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</si>
  <si>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</si>
  <si>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</si>
  <si>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</si>
  <si>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</si>
  <si>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</si>
  <si>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</si>
  <si>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</si>
  <si>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</si>
  <si>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</si>
  <si>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</si>
  <si>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</si>
  <si>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</si>
  <si>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</si>
  <si>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</si>
  <si>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</si>
  <si>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</si>
  <si>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</si>
  <si>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</si>
  <si>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</si>
  <si>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</si>
  <si>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</si>
  <si>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</si>
  <si>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</si>
  <si>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</si>
  <si>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</si>
  <si>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</si>
  <si>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</si>
  <si>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</si>
  <si>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</si>
  <si>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</si>
  <si>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</si>
  <si>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</si>
  <si>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</si>
  <si>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</si>
  <si>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</si>
  <si>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</si>
  <si>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</si>
  <si>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</si>
  <si>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</si>
  <si>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</si>
  <si>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</si>
  <si>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</si>
  <si>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</si>
  <si>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</si>
  <si>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</si>
  <si>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</si>
  <si>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</si>
  <si>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</si>
  <si>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</si>
  <si>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</si>
  <si>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</si>
  <si>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</si>
  <si>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</si>
  <si>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</si>
  <si>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</si>
  <si>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</si>
  <si>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</si>
  <si>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</si>
  <si>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</si>
  <si>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</si>
  <si>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</si>
  <si>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</si>
  <si>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</si>
  <si>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</si>
  <si>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</si>
  <si>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</si>
  <si>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</si>
  <si>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</si>
  <si>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</si>
  <si>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</si>
  <si>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</si>
  <si>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</si>
  <si>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</si>
  <si>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</si>
  <si>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</si>
  <si>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</si>
  <si>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</si>
  <si>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</si>
  <si>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</si>
  <si>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</si>
  <si>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</si>
  <si>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</si>
  <si>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</si>
  <si>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</si>
  <si>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</si>
  <si>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</si>
  <si>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</si>
  <si>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</si>
  <si>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</si>
  <si>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</si>
  <si>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</si>
  <si>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</si>
  <si>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</si>
  <si>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</si>
  <si>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</si>
  <si>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</si>
  <si>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</si>
  <si>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</si>
  <si>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</si>
  <si>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</si>
  <si>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</si>
  <si>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</si>
  <si>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</si>
  <si>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</si>
  <si>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</si>
  <si>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</si>
  <si>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</si>
  <si>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</si>
  <si>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</si>
  <si>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</si>
  <si>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</si>
  <si>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</si>
  <si>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</si>
  <si>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</si>
  <si>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</si>
  <si>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</si>
  <si>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</si>
  <si>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</si>
  <si>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</si>
  <si>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</si>
  <si>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</si>
  <si>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</si>
  <si>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</si>
  <si>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</si>
  <si>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</si>
  <si>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</si>
  <si>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</si>
  <si>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</si>
  <si>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</si>
  <si>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</si>
  <si>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</si>
  <si>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</si>
  <si>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</si>
  <si>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</si>
  <si>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</si>
  <si>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</si>
  <si>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</si>
  <si>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</si>
  <si>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</si>
  <si>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</si>
  <si>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</si>
  <si>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</si>
  <si>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</si>
  <si>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</si>
  <si>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</si>
  <si>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</si>
  <si>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</si>
  <si>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</si>
  <si>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</si>
  <si>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</si>
  <si>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</si>
  <si>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</si>
  <si>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</si>
  <si>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</si>
  <si>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</si>
  <si>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</si>
  <si>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</si>
  <si>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</si>
  <si>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</si>
  <si>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</si>
  <si>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</si>
  <si>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</si>
  <si>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</si>
  <si>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</si>
  <si>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</si>
  <si>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</si>
  <si>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</si>
  <si>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</si>
  <si>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</si>
  <si>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</si>
  <si>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</si>
  <si>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</si>
  <si>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</si>
  <si>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</si>
  <si>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</si>
  <si>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</si>
  <si>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</si>
  <si>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</si>
  <si>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</si>
  <si>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</si>
  <si>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</si>
  <si>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</si>
  <si>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</si>
  <si>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</si>
  <si>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</si>
  <si>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</si>
  <si>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</si>
  <si>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</si>
  <si>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</si>
  <si>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</si>
  <si>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</si>
  <si>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</si>
  <si>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</si>
  <si>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</si>
  <si>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</si>
  <si>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</si>
  <si>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</si>
  <si>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</si>
  <si>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</si>
  <si>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</si>
  <si>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</si>
  <si>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</si>
  <si>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</si>
  <si>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</si>
  <si>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</si>
  <si>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</si>
  <si>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</si>
  <si>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</si>
  <si>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</si>
  <si>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</si>
  <si>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</si>
  <si>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</si>
  <si>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</si>
  <si>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</si>
  <si>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</si>
  <si>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</si>
  <si>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</si>
  <si>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</si>
  <si>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</si>
  <si>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</si>
  <si>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</si>
  <si>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</si>
  <si>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</si>
  <si>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</si>
  <si>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</si>
  <si>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</si>
  <si>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</si>
  <si>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</si>
  <si>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</si>
  <si>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</si>
  <si>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</si>
  <si>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</si>
  <si>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</si>
  <si>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</si>
  <si>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</si>
  <si>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</si>
  <si>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</si>
  <si>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</si>
  <si>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</si>
  <si>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</si>
  <si>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</si>
  <si>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</si>
  <si>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</si>
  <si>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</si>
  <si>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</si>
  <si>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</si>
  <si>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</si>
  <si>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</si>
  <si>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</si>
  <si>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</si>
  <si>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</si>
  <si>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</si>
  <si>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</si>
  <si>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</si>
  <si>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</si>
  <si>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</si>
  <si>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</si>
  <si>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</si>
  <si>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</si>
  <si>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</si>
  <si>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</si>
  <si>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</si>
  <si>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</si>
  <si>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</si>
  <si>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</si>
  <si>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</si>
  <si>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</si>
  <si>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</si>
  <si>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</si>
  <si>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</si>
  <si>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</si>
  <si>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</si>
  <si>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</si>
  <si>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</si>
  <si>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</si>
  <si>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</si>
  <si>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</si>
  <si>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</si>
  <si>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</si>
  <si>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</si>
  <si>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</si>
  <si>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</si>
  <si>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</si>
  <si>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</si>
  <si>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</si>
  <si>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</si>
  <si>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</si>
  <si>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</si>
  <si>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</si>
  <si>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</si>
  <si>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</si>
  <si>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</si>
  <si>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</si>
  <si>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</si>
  <si>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</si>
  <si>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</si>
  <si>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</si>
  <si>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</si>
  <si>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</si>
  <si>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</si>
  <si>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</si>
  <si>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</si>
  <si>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</si>
  <si>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</si>
  <si>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</si>
  <si>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</si>
  <si>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</si>
  <si>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</si>
  <si>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</si>
  <si>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</si>
  <si>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</si>
  <si>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</si>
  <si>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</si>
  <si>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</si>
  <si>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</si>
  <si>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</si>
  <si>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</si>
  <si>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</si>
  <si>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</si>
  <si>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</si>
  <si>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</si>
  <si>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</si>
  <si>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</si>
  <si>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</si>
  <si>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</si>
  <si>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</si>
  <si>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</si>
  <si>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</si>
  <si>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</si>
  <si>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</si>
  <si>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</si>
  <si>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</si>
  <si>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</si>
  <si>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</si>
  <si>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</si>
  <si>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</si>
  <si>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</si>
  <si>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</si>
  <si>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</si>
  <si>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</si>
  <si>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</si>
  <si>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</si>
  <si>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</si>
  <si>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</si>
  <si>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</si>
  <si>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</si>
  <si>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</si>
  <si>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</si>
  <si>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</si>
  <si>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</si>
  <si>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</si>
  <si>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</si>
  <si>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</si>
  <si>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</si>
  <si>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</si>
  <si>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</si>
  <si>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</si>
  <si>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</si>
  <si>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</si>
  <si>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</si>
  <si>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</si>
  <si>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</si>
  <si>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</si>
  <si>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</si>
  <si>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</si>
  <si>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</si>
  <si>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</si>
  <si>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</si>
  <si>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</si>
  <si>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</si>
  <si>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</si>
  <si>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</si>
  <si>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</si>
  <si>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</si>
  <si>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</si>
  <si>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</si>
  <si>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</si>
  <si>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</si>
  <si>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</si>
  <si>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</si>
  <si>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</si>
  <si>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</si>
  <si>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</si>
  <si>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</si>
  <si>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</si>
  <si>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</si>
  <si>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</si>
  <si>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</si>
  <si>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</si>
  <si>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</si>
  <si>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</si>
  <si>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</si>
  <si>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</si>
  <si>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</si>
  <si>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</si>
  <si>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</si>
  <si>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</si>
  <si>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</si>
  <si>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</si>
  <si>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</si>
  <si>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</si>
  <si>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</si>
  <si>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</si>
  <si>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</si>
  <si>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</si>
  <si>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</si>
  <si>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</si>
  <si>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</si>
  <si>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</si>
  <si>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</si>
  <si>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</si>
  <si>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</si>
  <si>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</si>
  <si>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</si>
  <si>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</si>
  <si>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</si>
  <si>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</si>
  <si>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</si>
  <si>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</si>
  <si>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</si>
  <si>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</si>
  <si>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</si>
  <si>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</si>
  <si>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</si>
  <si>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</si>
  <si>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</si>
  <si>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</si>
  <si>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</si>
  <si>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</si>
  <si>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</si>
  <si>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</si>
  <si>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</si>
  <si>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</si>
  <si>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</si>
  <si>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</si>
  <si>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</si>
  <si>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</si>
  <si>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</si>
  <si>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</si>
  <si>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</si>
  <si>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</si>
  <si>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</si>
  <si>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</si>
  <si>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</si>
  <si>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</si>
  <si>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</si>
  <si>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</si>
  <si>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</si>
  <si>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</si>
  <si>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</si>
  <si>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</si>
  <si>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</si>
  <si>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</si>
  <si>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</si>
  <si>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</si>
  <si>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</si>
  <si>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</si>
  <si>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</si>
  <si>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</si>
  <si>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</si>
  <si>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</si>
  <si>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</si>
  <si>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</si>
  <si>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</si>
  <si>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</si>
  <si>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</si>
  <si>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</si>
  <si>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</si>
  <si>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</si>
  <si>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</si>
  <si>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</si>
  <si>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</si>
  <si>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</si>
  <si>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</si>
  <si>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</si>
  <si>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</si>
  <si>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</si>
  <si>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</si>
  <si>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</si>
  <si>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</si>
  <si>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</si>
  <si>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</si>
  <si>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</si>
  <si>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</si>
  <si>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</si>
  <si>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</si>
  <si>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</si>
  <si>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</si>
  <si>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</si>
  <si>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</si>
  <si>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</si>
  <si>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</si>
  <si>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</si>
  <si>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</si>
  <si>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</si>
  <si>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</si>
  <si>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</si>
  <si>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</si>
  <si>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</si>
  <si>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</si>
  <si>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</si>
  <si>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</si>
  <si>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</si>
  <si>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</si>
  <si>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</si>
  <si>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</si>
  <si>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</si>
  <si>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</si>
  <si>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</si>
  <si>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</si>
  <si>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</si>
  <si>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</si>
  <si>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</si>
  <si>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</si>
  <si>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</si>
  <si>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</si>
  <si>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</si>
  <si>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</si>
  <si>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</si>
  <si>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</si>
  <si>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</si>
  <si>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</si>
  <si>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</si>
  <si>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</si>
  <si>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</si>
  <si>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</si>
  <si>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</si>
  <si>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</si>
  <si>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</si>
  <si>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</si>
  <si>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</si>
  <si>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</si>
  <si>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</si>
  <si>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</si>
  <si>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</si>
  <si>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</si>
  <si>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</si>
  <si>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</si>
  <si>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</si>
  <si>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</si>
  <si>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</si>
  <si>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</si>
  <si>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</si>
  <si>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</si>
  <si>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</si>
  <si>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</si>
  <si>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</si>
  <si>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</si>
  <si>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</si>
  <si>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</si>
  <si>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</si>
  <si>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</si>
  <si>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</si>
  <si>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</si>
  <si>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</si>
  <si>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</si>
  <si>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</si>
  <si>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</si>
  <si>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</si>
  <si>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</si>
  <si>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</si>
  <si>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</si>
  <si>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</si>
  <si>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</si>
  <si>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</si>
  <si>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</si>
  <si>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</si>
  <si>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</si>
  <si>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</si>
  <si>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</si>
  <si>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</si>
  <si>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</si>
  <si>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</si>
  <si>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</si>
  <si>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</si>
  <si>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</si>
  <si>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</si>
  <si>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</si>
  <si>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</si>
  <si>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</si>
  <si>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</si>
  <si>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</si>
  <si>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</si>
  <si>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</si>
  <si>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</si>
  <si>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</si>
  <si>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</si>
  <si>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</si>
  <si>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</si>
  <si>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</si>
  <si>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</si>
  <si>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</si>
  <si>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</si>
  <si>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</si>
  <si>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</si>
  <si>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</si>
  <si>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</si>
  <si>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</si>
  <si>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</si>
  <si>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</si>
  <si>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</si>
  <si>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</si>
  <si>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</si>
  <si>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</si>
  <si>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</si>
  <si>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</si>
  <si>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</si>
  <si>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</si>
  <si>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</si>
  <si>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</si>
  <si>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</si>
  <si>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</si>
  <si>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</si>
  <si>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</si>
  <si>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</si>
  <si>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</si>
  <si>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</si>
  <si>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</si>
  <si>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</si>
  <si>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</si>
  <si>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</si>
  <si>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</si>
  <si>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</si>
  <si>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</si>
  <si>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</si>
  <si>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</si>
  <si>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</si>
  <si>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</si>
  <si>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</si>
  <si>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</si>
  <si>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</si>
  <si>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</si>
  <si>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</si>
  <si>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</si>
  <si>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</si>
  <si>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</si>
  <si>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</si>
  <si>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</si>
  <si>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</si>
  <si>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</si>
  <si>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</si>
  <si>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</si>
  <si>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</si>
  <si>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</si>
  <si>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</si>
  <si>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</si>
  <si>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</si>
  <si>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</si>
  <si>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</si>
  <si>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</si>
  <si>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</si>
  <si>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</si>
  <si>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</si>
  <si>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</si>
  <si>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</si>
  <si>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</si>
  <si>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</si>
  <si>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</si>
  <si>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</si>
  <si>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</si>
  <si>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</si>
  <si>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</si>
  <si>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</si>
  <si>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</si>
  <si>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</si>
  <si>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</si>
  <si>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</si>
  <si>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</si>
  <si>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</si>
  <si>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</si>
  <si>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</si>
  <si>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</si>
  <si>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</si>
  <si>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</si>
  <si>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</si>
  <si>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</si>
  <si>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</si>
  <si>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</si>
  <si>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</si>
  <si>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</si>
  <si>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</si>
  <si>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</si>
  <si>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</si>
  <si>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</si>
  <si>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</si>
  <si>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</si>
  <si>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</si>
  <si>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</si>
  <si>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</si>
  <si>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</si>
  <si>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</si>
  <si>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</si>
  <si>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</si>
  <si>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</si>
  <si>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</si>
  <si>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</si>
  <si>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</si>
  <si>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</si>
  <si>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</si>
  <si>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</si>
  <si>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</si>
  <si>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</si>
  <si>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</si>
  <si>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</si>
  <si>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</si>
  <si>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</si>
  <si>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</si>
  <si>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</si>
  <si>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</si>
  <si>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</si>
  <si>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</si>
  <si>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</si>
  <si>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</si>
  <si>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</si>
  <si>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</si>
  <si>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</si>
  <si>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</si>
  <si>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</si>
  <si>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</si>
  <si>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</si>
  <si>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</si>
  <si>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</si>
  <si>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</si>
  <si>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</si>
  <si>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</si>
  <si>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</si>
  <si>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</si>
  <si>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</si>
  <si>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</si>
  <si>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</si>
  <si>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</si>
  <si>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</si>
  <si>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</si>
  <si>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</si>
  <si>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</si>
  <si>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</si>
  <si>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</si>
  <si>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</si>
  <si>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</si>
  <si>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</si>
  <si>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</si>
  <si>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</si>
  <si>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</si>
  <si>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</si>
  <si>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</si>
  <si>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</si>
  <si>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</si>
  <si>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</si>
  <si>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</si>
  <si>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</si>
  <si>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</si>
  <si>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</si>
  <si>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</si>
  <si>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</si>
  <si>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</si>
  <si>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</si>
  <si>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</si>
  <si>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</si>
  <si>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</si>
  <si>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</si>
  <si>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</si>
  <si>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</si>
  <si>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</si>
  <si>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</si>
  <si>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</si>
  <si>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</si>
  <si>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</si>
  <si>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</si>
  <si>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</si>
  <si>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</si>
  <si>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</si>
  <si>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</si>
  <si>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</si>
  <si>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</si>
  <si>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</si>
  <si>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</si>
  <si>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</si>
  <si>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</si>
  <si>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</si>
  <si>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</si>
  <si>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</si>
  <si>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</si>
  <si>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</si>
  <si>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</si>
  <si>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</si>
  <si>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</si>
  <si>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</si>
  <si>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</si>
  <si>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</si>
  <si>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</si>
  <si>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</si>
  <si>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</si>
  <si>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</si>
  <si>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</si>
  <si>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</si>
  <si>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</si>
  <si>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</si>
  <si>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</si>
  <si>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</si>
  <si>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</si>
  <si>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</si>
  <si>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</si>
  <si>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</si>
  <si>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</si>
  <si>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</si>
  <si>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</si>
  <si>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</si>
  <si>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</si>
  <si>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</si>
  <si>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</si>
  <si>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</si>
  <si>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</si>
  <si>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</si>
  <si>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</si>
  <si>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</si>
  <si>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</si>
  <si>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</si>
  <si>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</si>
  <si>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</si>
  <si>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</si>
  <si>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</si>
  <si>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</si>
  <si>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</si>
  <si>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</si>
  <si>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</si>
  <si>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</si>
  <si>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</si>
  <si>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</si>
  <si>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</si>
  <si>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</si>
  <si>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</si>
  <si>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</si>
  <si>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</si>
  <si>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</si>
  <si>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</si>
  <si>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</si>
  <si>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</si>
  <si>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</si>
  <si>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</si>
  <si>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</si>
  <si>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</si>
  <si>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</si>
  <si>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</si>
  <si>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</si>
  <si>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</si>
  <si>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</si>
  <si>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</si>
  <si>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</si>
  <si>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</si>
  <si>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</si>
  <si>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</si>
  <si>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</si>
  <si>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</si>
  <si>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</si>
  <si>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</si>
  <si>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</si>
  <si>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</si>
  <si>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</si>
  <si>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</si>
  <si>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</si>
  <si>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</si>
  <si>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</si>
  <si>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</si>
  <si>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</si>
  <si>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</si>
  <si>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</si>
  <si>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</si>
  <si>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</si>
  <si>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</si>
  <si>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</si>
  <si>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</si>
  <si>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</si>
  <si>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</si>
  <si>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</si>
  <si>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</si>
  <si>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</si>
  <si>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</si>
  <si>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</si>
  <si>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</si>
  <si>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</si>
  <si>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</si>
  <si>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</si>
  <si>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</si>
  <si>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</si>
  <si>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</si>
  <si>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</si>
  <si>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</si>
  <si>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</si>
  <si>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</si>
  <si>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</si>
  <si>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</si>
  <si>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</si>
  <si>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</si>
  <si>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</si>
  <si>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</si>
  <si>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</si>
  <si>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</si>
  <si>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</si>
  <si>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</si>
  <si>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</si>
  <si>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</si>
  <si>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</si>
  <si>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</si>
  <si>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</si>
  <si>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</si>
  <si>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</si>
  <si>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</si>
  <si>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</si>
  <si>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</si>
  <si>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</si>
  <si>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</si>
  <si>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</si>
  <si>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</si>
  <si>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</si>
  <si>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</si>
  <si>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</si>
  <si>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</si>
  <si>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</si>
  <si>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</si>
  <si>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</si>
  <si>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</si>
  <si>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</si>
  <si>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</si>
  <si>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</si>
  <si>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</si>
  <si>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</si>
  <si>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</si>
  <si>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</si>
  <si>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</si>
  <si>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</si>
  <si>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</si>
  <si>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</si>
  <si>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</si>
  <si>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</si>
  <si>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</si>
  <si>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</si>
  <si>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</si>
  <si>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</si>
  <si>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</si>
  <si>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</si>
  <si>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</si>
  <si>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</si>
  <si>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</si>
  <si>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</si>
  <si>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</si>
  <si>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</si>
  <si>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</si>
  <si>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</si>
  <si>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</si>
  <si>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</si>
  <si>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</si>
  <si>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</si>
  <si>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</si>
  <si>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</si>
  <si>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</si>
  <si>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</si>
  <si>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</si>
  <si>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</si>
  <si>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</si>
  <si>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</si>
  <si>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</si>
  <si>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</si>
  <si>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</si>
  <si>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</si>
  <si>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</si>
  <si>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</si>
  <si>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</si>
  <si>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</si>
  <si>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</si>
  <si>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</si>
  <si>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</si>
  <si>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</si>
  <si>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</si>
  <si>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</si>
  <si>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</si>
  <si>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</si>
  <si>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</si>
  <si>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</si>
  <si>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</si>
  <si>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</si>
  <si>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</si>
  <si>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</si>
  <si>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</si>
  <si>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</si>
  <si>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</si>
  <si>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</si>
  <si>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</si>
  <si>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</si>
  <si>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</si>
  <si>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</si>
  <si>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</si>
  <si>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</si>
  <si>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</si>
  <si>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</si>
  <si>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</si>
  <si>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</si>
  <si>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</si>
  <si>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</si>
  <si>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</si>
  <si>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</si>
  <si>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</si>
  <si>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</si>
  <si>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</si>
  <si>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</si>
  <si>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</si>
  <si>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</si>
  <si>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</si>
  <si>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</si>
  <si>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</si>
  <si>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</si>
  <si>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</si>
  <si>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</si>
  <si>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</si>
  <si>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</si>
  <si>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</si>
  <si>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</si>
  <si>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</si>
  <si>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</si>
  <si>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</si>
  <si>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</si>
  <si>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</si>
  <si>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</si>
  <si>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</si>
  <si>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</si>
  <si>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</si>
  <si>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</si>
  <si>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</si>
  <si>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</si>
  <si>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</si>
  <si>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</si>
  <si>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</si>
  <si>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</si>
  <si>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</si>
  <si>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</si>
  <si>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</si>
  <si>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</si>
  <si>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</si>
  <si>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</si>
  <si>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</si>
  <si>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</si>
  <si>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</si>
  <si>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</si>
  <si>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</si>
  <si>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</si>
  <si>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</si>
  <si>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</si>
  <si>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</si>
  <si>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</si>
  <si>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</si>
  <si>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</si>
  <si>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</si>
  <si>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</si>
  <si>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</si>
  <si>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</si>
  <si>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</si>
  <si>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</si>
  <si>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</si>
  <si>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</si>
  <si>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</si>
  <si>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</si>
  <si>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</si>
  <si>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</si>
  <si>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</si>
  <si>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</si>
  <si>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</si>
  <si>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</si>
  <si>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</si>
  <si>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</si>
  <si>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</si>
  <si>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</si>
  <si>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</si>
  <si>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</si>
  <si>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</si>
  <si>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</si>
  <si>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</si>
  <si>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</si>
  <si>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</si>
  <si>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</si>
  <si>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</si>
  <si>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</si>
  <si>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</si>
  <si>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</si>
  <si>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</si>
  <si>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</si>
  <si>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</si>
  <si>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</si>
  <si>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</si>
  <si>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</si>
  <si>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</si>
  <si>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</si>
  <si>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</si>
  <si>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</si>
  <si>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</si>
  <si>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</si>
  <si>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</si>
  <si>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</si>
  <si>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</si>
  <si>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</si>
  <si>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</si>
  <si>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</si>
  <si>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</si>
  <si>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</si>
  <si>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</si>
  <si>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</si>
  <si>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</si>
  <si>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</si>
  <si>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</si>
  <si>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</si>
  <si>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</si>
  <si>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</si>
  <si>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</si>
  <si>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</si>
  <si>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</si>
  <si>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</si>
  <si>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</si>
  <si>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</si>
  <si>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</si>
  <si>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</si>
  <si>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</si>
  <si>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</si>
  <si>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</si>
  <si>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</si>
  <si>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</si>
  <si>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</si>
  <si>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</si>
  <si>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</si>
  <si>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</si>
  <si>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</si>
  <si>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</si>
  <si>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</si>
  <si>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</si>
  <si>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</si>
  <si>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</si>
  <si>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</si>
  <si>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</si>
  <si>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</si>
  <si>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</si>
  <si>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</si>
  <si>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</si>
  <si>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</si>
  <si>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</si>
  <si>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</si>
  <si>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</si>
  <si>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</si>
  <si>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</si>
  <si>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</si>
  <si>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</si>
  <si>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</si>
  <si>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</si>
  <si>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</si>
  <si>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</si>
  <si>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</si>
  <si>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</si>
  <si>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</si>
  <si>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</si>
  <si>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</si>
  <si>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</si>
  <si>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</si>
  <si>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</si>
  <si>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</si>
  <si>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</si>
  <si>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</si>
  <si>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</si>
  <si>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</si>
  <si>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</si>
  <si>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</si>
  <si>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</si>
  <si>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</si>
  <si>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</si>
  <si>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</si>
  <si>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</si>
  <si>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</si>
  <si>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</si>
  <si>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</si>
  <si>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</si>
  <si>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</si>
  <si>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</si>
  <si>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</si>
  <si>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</si>
  <si>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</si>
  <si>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</si>
  <si>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</si>
  <si>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</si>
  <si>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</si>
  <si>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</si>
  <si>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</si>
  <si>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</si>
  <si>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</si>
  <si>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</si>
  <si>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</si>
  <si>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</si>
  <si>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</si>
  <si>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</si>
  <si>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</si>
  <si>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</si>
  <si>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</si>
  <si>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</si>
  <si>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</si>
  <si>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</si>
  <si>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</si>
  <si>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</si>
  <si>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</si>
  <si>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</si>
  <si>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</si>
  <si>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</si>
  <si>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</si>
  <si>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</si>
  <si>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</si>
  <si>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</si>
  <si>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</si>
  <si>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</si>
  <si>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</si>
  <si>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</si>
  <si>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</si>
  <si>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</si>
  <si>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</si>
  <si>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</si>
  <si>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</si>
  <si>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</si>
  <si>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</si>
  <si>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</si>
  <si>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</si>
  <si>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</si>
  <si>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</si>
  <si>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</si>
  <si>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</si>
  <si>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</si>
  <si>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</si>
  <si>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</si>
  <si>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</si>
  <si>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</si>
  <si>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</si>
  <si>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</si>
  <si>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</si>
  <si>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</si>
  <si>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</si>
  <si>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</si>
  <si>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</si>
  <si>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</si>
  <si>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</si>
  <si>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</si>
  <si>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</si>
  <si>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</si>
  <si>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</si>
  <si>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</si>
  <si>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</si>
  <si>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</si>
  <si>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</si>
  <si>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</si>
  <si>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</si>
  <si>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</si>
  <si>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</si>
  <si>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</si>
  <si>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</si>
  <si>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</si>
  <si>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</si>
  <si>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</si>
  <si>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</si>
  <si>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</si>
  <si>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</si>
  <si>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</si>
  <si>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</si>
  <si>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</si>
  <si>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</si>
  <si>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</si>
  <si>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</si>
  <si>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</si>
  <si>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</si>
  <si>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</si>
  <si>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</si>
  <si>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</si>
  <si>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</si>
  <si>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</si>
  <si>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</si>
  <si>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</si>
  <si>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</si>
  <si>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</si>
  <si>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</si>
  <si>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</si>
  <si>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</si>
  <si>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</si>
  <si>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</si>
  <si>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</si>
  <si>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</si>
  <si>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</si>
  <si>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</si>
  <si>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</si>
  <si>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</si>
  <si>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</si>
  <si>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</si>
  <si>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</si>
  <si>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</si>
  <si>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</si>
  <si>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</si>
  <si>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</si>
  <si>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</si>
  <si>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</si>
  <si>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</si>
  <si>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</si>
  <si>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</si>
  <si>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</si>
  <si>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</si>
  <si>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</si>
  <si>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</si>
  <si>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</si>
  <si>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</si>
  <si>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</si>
  <si>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</si>
  <si>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</si>
  <si>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</si>
  <si>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</si>
  <si>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</si>
  <si>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</si>
  <si>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</si>
  <si>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</si>
  <si>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</si>
  <si>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</si>
  <si>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</si>
  <si>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</si>
  <si>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</si>
  <si>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</si>
  <si>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</si>
  <si>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</si>
  <si>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</si>
  <si>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</si>
  <si>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</si>
  <si>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</si>
  <si>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</si>
  <si>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</si>
  <si>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</si>
  <si>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</si>
  <si>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</si>
  <si>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</si>
  <si>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</si>
  <si>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</si>
  <si>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</si>
  <si>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</si>
  <si>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</si>
  <si>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</si>
  <si>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</si>
  <si>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</si>
  <si>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</si>
  <si>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</si>
  <si>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</si>
  <si>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</si>
  <si>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</si>
  <si>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</si>
  <si>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</si>
  <si>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</si>
  <si>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</si>
  <si>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</si>
  <si>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</si>
  <si>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</si>
  <si>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</si>
  <si>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</si>
  <si>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</si>
  <si>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</si>
  <si>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</si>
  <si>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</si>
  <si>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</si>
  <si>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</si>
  <si>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</si>
  <si>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</si>
  <si>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</si>
  <si>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</si>
  <si>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</si>
  <si>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</si>
  <si>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</si>
  <si>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</si>
  <si>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</si>
  <si>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</si>
  <si>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</si>
  <si>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</si>
  <si>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</si>
  <si>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</si>
  <si>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</si>
  <si>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</si>
  <si>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</si>
  <si>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</si>
  <si>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</si>
  <si>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</si>
  <si>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</si>
  <si>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</si>
  <si>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</si>
  <si>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</si>
  <si>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</si>
  <si>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</si>
  <si>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</si>
  <si>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</si>
  <si>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</si>
  <si>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</si>
  <si>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</si>
  <si>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</si>
  <si>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</si>
  <si>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</si>
  <si>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</si>
  <si>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</si>
  <si>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</si>
  <si>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</si>
  <si>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</si>
  <si>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</si>
  <si>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</si>
  <si>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</si>
  <si>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</si>
  <si>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</si>
  <si>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</si>
  <si>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</si>
  <si>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</si>
  <si>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</si>
  <si>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</si>
  <si>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</si>
  <si>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</si>
  <si>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</si>
  <si>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</si>
  <si>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</si>
  <si>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</si>
  <si>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</si>
  <si>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</si>
  <si>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</si>
  <si>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</si>
  <si>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</si>
  <si>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</si>
  <si>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</si>
  <si>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</si>
  <si>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</si>
  <si>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</si>
  <si>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</si>
  <si>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</si>
  <si>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</si>
  <si>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</si>
  <si>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</si>
  <si>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</si>
  <si>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</si>
  <si>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</si>
  <si>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</si>
  <si>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</si>
  <si>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</si>
  <si>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</si>
  <si>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</si>
  <si>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</si>
  <si>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</si>
  <si>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</si>
  <si>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</si>
  <si>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</si>
  <si>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</si>
  <si>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</si>
  <si>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</si>
  <si>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</si>
  <si>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</si>
  <si>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</si>
  <si>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</si>
  <si>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</si>
  <si>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</si>
  <si>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</si>
  <si>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</si>
  <si>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</si>
  <si>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</si>
  <si>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</si>
  <si>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</si>
  <si>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</si>
  <si>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</si>
  <si>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</si>
  <si>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</si>
  <si>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</si>
  <si>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</si>
  <si>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</si>
  <si>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</si>
  <si>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</si>
  <si>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</si>
  <si>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</si>
  <si>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</si>
  <si>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</si>
  <si>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</si>
  <si>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</si>
  <si>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</si>
  <si>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</si>
  <si>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</si>
  <si>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</si>
  <si>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</si>
  <si>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</si>
  <si>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</si>
  <si>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</si>
  <si>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</si>
  <si>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</si>
  <si>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</si>
  <si>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</si>
  <si>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</si>
  <si>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</si>
  <si>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</si>
  <si>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</si>
  <si>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</si>
  <si>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</si>
  <si>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</si>
  <si>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</si>
  <si>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</si>
  <si>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</si>
  <si>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</si>
  <si>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</si>
  <si>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</si>
  <si>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</si>
  <si>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</si>
  <si>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</si>
  <si>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</si>
  <si>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</si>
  <si>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</si>
  <si>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</si>
  <si>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</si>
  <si>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</si>
  <si>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</si>
  <si>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</si>
  <si>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</si>
  <si>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</si>
  <si>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</si>
  <si>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</si>
  <si>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</si>
  <si>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</si>
  <si>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</si>
  <si>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</si>
  <si>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</si>
  <si>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</si>
  <si>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</si>
  <si>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</si>
  <si>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</si>
  <si>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</si>
  <si>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</si>
  <si>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</si>
  <si>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</si>
  <si>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</si>
  <si>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</si>
  <si>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</si>
  <si>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</si>
  <si>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</si>
  <si>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</si>
  <si>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</si>
  <si>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</si>
  <si>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</si>
  <si>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</si>
  <si>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</si>
  <si>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</si>
  <si>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</si>
  <si>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</si>
  <si>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</si>
  <si>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</si>
  <si>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</si>
  <si>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</si>
  <si>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</si>
  <si>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</si>
  <si>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</si>
  <si>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</si>
  <si>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</si>
  <si>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</si>
  <si>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</si>
  <si>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</si>
  <si>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</si>
  <si>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</si>
  <si>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</si>
  <si>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</si>
  <si>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</si>
  <si>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</si>
  <si>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</si>
  <si>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</si>
  <si>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</si>
  <si>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</si>
  <si>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</si>
  <si>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</si>
  <si>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</si>
  <si>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</si>
  <si>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</si>
  <si>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</si>
  <si>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</si>
  <si>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</si>
  <si>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</si>
  <si>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</si>
  <si>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</si>
  <si>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</si>
  <si>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</si>
  <si>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</si>
  <si>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</si>
  <si>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</si>
  <si>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</si>
  <si>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</si>
  <si>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</si>
  <si>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</si>
  <si>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</si>
  <si>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</si>
  <si>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</si>
  <si>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</si>
  <si>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</si>
  <si>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</si>
  <si>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</si>
  <si>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</si>
  <si>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</si>
  <si>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</si>
  <si>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</si>
  <si>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</si>
  <si>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</si>
  <si>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</si>
  <si>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</si>
  <si>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</si>
  <si>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</si>
  <si>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</si>
  <si>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</si>
  <si>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</si>
  <si>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</si>
  <si>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</si>
  <si>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</si>
  <si>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</si>
  <si>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</si>
  <si>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</si>
  <si>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</si>
  <si>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</si>
  <si>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</si>
  <si>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</si>
  <si>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</si>
  <si>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</si>
  <si>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</si>
  <si>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</si>
  <si>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</si>
  <si>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</si>
  <si>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</si>
  <si>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</si>
  <si>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</si>
  <si>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</si>
  <si>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</si>
  <si>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</si>
  <si>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</si>
  <si>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</si>
  <si>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</si>
  <si>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</si>
  <si>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</si>
  <si>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</si>
  <si>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</si>
  <si>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</si>
  <si>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</si>
  <si>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</si>
  <si>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</si>
  <si>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</si>
  <si>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</si>
  <si>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</si>
  <si>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</si>
  <si>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</si>
  <si>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</si>
  <si>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</si>
  <si>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</si>
  <si>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</si>
  <si>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</si>
  <si>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</si>
  <si>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</si>
  <si>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</si>
  <si>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</si>
  <si>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</si>
  <si>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</si>
  <si>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</si>
  <si>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</si>
  <si>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</si>
  <si>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</si>
  <si>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</si>
  <si>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</si>
  <si>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</si>
  <si>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</si>
  <si>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</si>
  <si>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</si>
  <si>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</si>
  <si>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</si>
  <si>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</si>
  <si>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</si>
  <si>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</si>
  <si>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</si>
  <si>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</si>
  <si>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</si>
  <si>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</si>
  <si>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</si>
  <si>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</si>
  <si>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</si>
  <si>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</si>
  <si>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</si>
  <si>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</si>
  <si>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</si>
  <si>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</si>
  <si>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</si>
  <si>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</si>
  <si>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</si>
  <si>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</si>
  <si>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</si>
  <si>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</si>
  <si>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</si>
  <si>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</si>
  <si>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</si>
  <si>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</si>
  <si>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</si>
  <si>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</si>
  <si>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</si>
  <si>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</si>
  <si>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</si>
  <si>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</si>
  <si>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</si>
  <si>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</si>
  <si>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</si>
  <si>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</si>
  <si>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</si>
  <si>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</si>
  <si>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</si>
  <si>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</si>
  <si>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</si>
  <si>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</si>
  <si>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</si>
  <si>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</si>
  <si>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</si>
  <si>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</si>
  <si>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</si>
  <si>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</si>
  <si>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</si>
  <si>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</si>
  <si>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</si>
  <si>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</si>
  <si>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</si>
  <si>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</si>
  <si>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</si>
  <si>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</si>
  <si>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</si>
  <si>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</si>
  <si>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</si>
  <si>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</si>
  <si>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</si>
  <si>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</si>
  <si>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</si>
  <si>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</si>
  <si>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</si>
  <si>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</si>
  <si>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</si>
  <si>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</si>
  <si>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</si>
  <si>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</si>
  <si>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</si>
  <si>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</si>
  <si>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</si>
  <si>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</si>
  <si>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</si>
  <si>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</si>
  <si>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</si>
  <si>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</si>
  <si>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</si>
  <si>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</si>
  <si>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</si>
  <si>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</si>
  <si>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</si>
  <si>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</si>
  <si>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</si>
  <si>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</si>
  <si>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</si>
  <si>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</si>
  <si>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</si>
  <si>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</si>
  <si>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</si>
  <si>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</si>
  <si>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</si>
  <si>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</si>
  <si>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</si>
  <si>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</si>
  <si>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</si>
  <si>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</si>
  <si>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</si>
  <si>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</si>
  <si>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</si>
  <si>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</si>
  <si>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</si>
  <si>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</si>
  <si>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</si>
  <si>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</si>
  <si>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</si>
  <si>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</si>
  <si>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</si>
  <si>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</si>
  <si>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</si>
  <si>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</si>
  <si>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</si>
  <si>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</si>
  <si>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</si>
  <si>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</si>
  <si>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</si>
  <si>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</si>
  <si>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</si>
  <si>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</si>
  <si>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</si>
  <si>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</si>
  <si>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</si>
  <si>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</si>
  <si>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</si>
  <si>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</si>
  <si>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</si>
  <si>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</si>
  <si>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</si>
  <si>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</si>
  <si>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</si>
  <si>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</si>
  <si>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</si>
  <si>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</si>
  <si>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</si>
  <si>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</si>
  <si>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</si>
  <si>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</si>
  <si>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</si>
  <si>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</si>
  <si>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</si>
  <si>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</si>
  <si>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</si>
  <si>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</si>
  <si>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</si>
  <si>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</si>
  <si>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</si>
  <si>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</si>
  <si>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</si>
  <si>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</si>
  <si>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</si>
  <si>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</si>
  <si>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</si>
  <si>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</si>
  <si>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</si>
  <si>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</si>
  <si>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</si>
  <si>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</si>
  <si>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</si>
  <si>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</si>
  <si>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</si>
  <si>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</si>
  <si>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</si>
  <si>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</si>
  <si>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</si>
  <si>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</si>
  <si>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</si>
  <si>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</si>
  <si>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</si>
  <si>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</si>
  <si>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</si>
  <si>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</si>
  <si>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</si>
  <si>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</si>
  <si>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</si>
  <si>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</si>
  <si>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</si>
  <si>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</si>
  <si>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</si>
  <si>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</si>
  <si>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</si>
  <si>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</si>
  <si>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</si>
  <si>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</si>
  <si>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</si>
  <si>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</si>
  <si>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</si>
  <si>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</si>
  <si>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</si>
  <si>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</si>
  <si>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</si>
  <si>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</si>
  <si>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</si>
  <si>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</si>
  <si>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</si>
  <si>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</si>
  <si>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</si>
  <si>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</si>
  <si>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</si>
  <si>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</si>
  <si>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</si>
  <si>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</si>
  <si>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</si>
  <si>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</si>
  <si>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</si>
  <si>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</si>
  <si>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</si>
  <si>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</si>
  <si>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</si>
  <si>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</si>
  <si>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</si>
  <si>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</si>
  <si>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</si>
  <si>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</si>
  <si>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</si>
  <si>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</si>
  <si>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</si>
  <si>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</si>
  <si>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</si>
  <si>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</si>
  <si>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</si>
  <si>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</si>
  <si>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</si>
  <si>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</si>
  <si>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</si>
  <si>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</si>
  <si>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</si>
  <si>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</si>
  <si>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</si>
  <si>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</si>
  <si>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</si>
  <si>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</si>
  <si>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</si>
  <si>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</si>
  <si>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</si>
  <si>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</si>
  <si>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</si>
  <si>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</si>
  <si>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</si>
  <si>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</si>
  <si>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</si>
  <si>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</si>
  <si>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</si>
  <si>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</si>
  <si>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</si>
  <si>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</si>
  <si>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</si>
  <si>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</si>
  <si>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</si>
  <si>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</si>
  <si>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</si>
  <si>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</si>
  <si>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</si>
  <si>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</si>
  <si>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</si>
  <si>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</si>
  <si>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</si>
  <si>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</si>
  <si>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</si>
  <si>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</si>
  <si>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</si>
  <si>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</si>
  <si>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</si>
  <si>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</si>
  <si>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</si>
  <si>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</si>
  <si>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</si>
  <si>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</si>
  <si>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</si>
  <si>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</si>
  <si>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</si>
  <si>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</si>
  <si>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</si>
  <si>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</si>
  <si>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</si>
  <si>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</si>
  <si>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</si>
  <si>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</si>
  <si>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</si>
  <si>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</si>
  <si>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</si>
  <si>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</si>
  <si>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</si>
  <si>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</si>
  <si>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</si>
  <si>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</si>
  <si>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</si>
  <si>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</si>
  <si>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</si>
  <si>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</si>
  <si>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</si>
  <si>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</si>
  <si>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</si>
  <si>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</si>
  <si>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</si>
  <si>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</si>
  <si>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</si>
  <si>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</si>
  <si>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</si>
  <si>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</si>
  <si>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</si>
  <si>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</si>
  <si>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</si>
  <si>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</si>
  <si>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</si>
  <si>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</si>
  <si>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</si>
  <si>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</si>
  <si>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</si>
  <si>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</si>
  <si>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</si>
  <si>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</si>
  <si>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</si>
  <si>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</si>
  <si>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</si>
  <si>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</si>
  <si>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</si>
  <si>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</si>
  <si>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</si>
  <si>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</si>
  <si>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</si>
  <si>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</si>
  <si>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</si>
  <si>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</si>
  <si>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</si>
  <si>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</si>
  <si>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</si>
  <si>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</si>
  <si>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</si>
  <si>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</si>
  <si>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</si>
  <si>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</si>
  <si>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</si>
  <si>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</si>
  <si>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</si>
  <si>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</si>
  <si>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</si>
  <si>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</si>
  <si>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</si>
  <si>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</si>
  <si>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</si>
  <si>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</si>
  <si>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</si>
  <si>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</si>
  <si>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</si>
  <si>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</si>
  <si>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</si>
  <si>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</si>
  <si>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</si>
  <si>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</si>
  <si>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</si>
  <si>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</si>
  <si>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</si>
  <si>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</si>
  <si>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</si>
  <si>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</si>
  <si>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</si>
  <si>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</si>
  <si>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</si>
  <si>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</si>
  <si>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</si>
  <si>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</si>
  <si>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</si>
  <si>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</si>
  <si>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</si>
  <si>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</si>
  <si>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</si>
  <si>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</si>
  <si>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</si>
  <si>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</si>
  <si>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</si>
  <si>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</si>
  <si>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</si>
  <si>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</si>
  <si>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</si>
  <si>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</si>
  <si>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</si>
  <si>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</si>
  <si>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</si>
  <si>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</si>
  <si>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</si>
  <si>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</si>
  <si>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</si>
  <si>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</si>
  <si>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</si>
  <si>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</si>
  <si>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</si>
  <si>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</si>
  <si>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</si>
  <si>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</si>
  <si>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</si>
  <si>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</si>
  <si>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</si>
  <si>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</si>
  <si>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</si>
  <si>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</si>
  <si>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</si>
  <si>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</si>
  <si>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</si>
  <si>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</si>
  <si>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</si>
  <si>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</si>
  <si>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</si>
  <si>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</si>
  <si>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</si>
  <si>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</si>
  <si>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</si>
  <si>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</si>
  <si>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</si>
  <si>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</si>
  <si>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</si>
  <si>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</si>
  <si>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</si>
  <si>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</si>
  <si>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</si>
  <si>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</si>
  <si>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</si>
  <si>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</si>
  <si>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</si>
  <si>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</si>
  <si>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</si>
  <si>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</si>
  <si>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</si>
  <si>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</si>
  <si>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</si>
  <si>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</si>
  <si>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</si>
  <si>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</si>
  <si>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</si>
  <si>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</si>
  <si>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</si>
  <si>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</si>
  <si>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</si>
  <si>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</si>
  <si>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</si>
  <si>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</si>
  <si>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</si>
  <si>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</si>
  <si>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</si>
  <si>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</si>
  <si>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</si>
  <si>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</si>
  <si>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</si>
  <si>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</si>
  <si>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</si>
  <si>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</si>
  <si>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</si>
  <si>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</si>
  <si>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</si>
  <si>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</si>
  <si>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</si>
  <si>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</si>
  <si>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</si>
  <si>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</si>
  <si>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</si>
  <si>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</si>
  <si>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</si>
  <si>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</si>
  <si>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</si>
  <si>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</si>
  <si>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</si>
  <si>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</si>
  <si>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</si>
  <si>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</si>
  <si>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</si>
  <si>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</si>
  <si>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</si>
  <si>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</si>
  <si>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</si>
  <si>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</si>
  <si>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</si>
  <si>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</si>
  <si>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</si>
  <si>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</si>
  <si>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</si>
  <si>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</si>
  <si>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</si>
  <si>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</si>
  <si>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</si>
  <si>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</si>
  <si>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</si>
  <si>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</si>
  <si>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</si>
  <si>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</si>
  <si>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</si>
  <si>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</si>
  <si>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</si>
  <si>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</si>
  <si>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</si>
  <si>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</si>
  <si>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</si>
  <si>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</si>
  <si>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</si>
  <si>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</si>
  <si>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</si>
  <si>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</si>
  <si>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</si>
  <si>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</si>
  <si>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</si>
  <si>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</si>
  <si>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</si>
  <si>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</si>
  <si>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</si>
  <si>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</si>
  <si>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</si>
  <si>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</si>
  <si>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</si>
  <si>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</si>
  <si>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</si>
  <si>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</si>
  <si>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</si>
  <si>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</si>
  <si>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</si>
  <si>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</si>
  <si>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</si>
  <si>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</si>
  <si>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</si>
  <si>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</si>
  <si>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</si>
  <si>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</si>
  <si>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</si>
  <si>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</si>
  <si>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</si>
  <si>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</si>
  <si>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</si>
  <si>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</si>
  <si>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</si>
  <si>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</si>
  <si>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</si>
  <si>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</si>
  <si>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</si>
  <si>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</si>
  <si>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</si>
  <si>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</si>
  <si>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</si>
  <si>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</si>
  <si>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</si>
  <si>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</si>
  <si>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</si>
  <si>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</si>
  <si>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</si>
  <si>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</si>
  <si>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</si>
  <si>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</si>
  <si>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</si>
  <si>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</si>
  <si>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</si>
  <si>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</si>
  <si>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</si>
  <si>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</si>
  <si>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</si>
  <si>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</si>
  <si>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</si>
  <si>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</si>
  <si>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</si>
  <si>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</si>
  <si>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</si>
  <si>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</si>
  <si>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</si>
  <si>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</si>
  <si>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</si>
  <si>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</si>
  <si>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</si>
  <si>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</si>
  <si>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</si>
  <si>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</si>
  <si>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</si>
  <si>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</si>
  <si>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</si>
  <si>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</si>
  <si>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</si>
  <si>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</si>
  <si>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</si>
  <si>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</si>
  <si>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</si>
  <si>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</si>
  <si>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</si>
  <si>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</si>
  <si>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</si>
  <si>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</si>
  <si>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</si>
  <si>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</si>
  <si>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</si>
  <si>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</si>
  <si>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</si>
  <si>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</si>
  <si>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</si>
  <si>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</si>
  <si>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</si>
  <si>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</si>
  <si>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</si>
  <si>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</si>
  <si>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</si>
  <si>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</si>
  <si>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</si>
  <si>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</si>
  <si>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</si>
  <si>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</si>
  <si>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</si>
  <si>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</si>
  <si>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</si>
  <si>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</si>
  <si>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</si>
  <si>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</si>
  <si>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</si>
  <si>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</si>
  <si>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</si>
  <si>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</si>
  <si>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</si>
  <si>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</si>
  <si>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</si>
  <si>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</si>
  <si>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</si>
  <si>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</si>
  <si>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</si>
  <si>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</si>
  <si>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</si>
  <si>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</si>
  <si>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</si>
  <si>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</si>
  <si>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</si>
  <si>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</si>
  <si>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</si>
  <si>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</si>
  <si>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</si>
  <si>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</si>
  <si>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</si>
  <si>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</si>
  <si>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</si>
  <si>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</si>
  <si>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</si>
  <si>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</si>
  <si>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</si>
  <si>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</si>
  <si>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</si>
  <si>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</si>
  <si>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</si>
  <si>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</si>
  <si>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</si>
  <si>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</si>
  <si>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</si>
  <si>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</si>
  <si>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</si>
  <si>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</si>
  <si>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</si>
  <si>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</si>
  <si>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</si>
  <si>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</si>
  <si>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</si>
  <si>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</si>
  <si>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</si>
  <si>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</si>
  <si>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</si>
  <si>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</si>
  <si>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</si>
  <si>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</si>
  <si>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</si>
  <si>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</si>
  <si>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</si>
  <si>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</si>
  <si>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</si>
  <si>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</si>
  <si>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</si>
  <si>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</si>
  <si>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</si>
  <si>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</si>
  <si>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</si>
  <si>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</si>
  <si>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</si>
  <si>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</si>
  <si>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</si>
  <si>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</si>
  <si>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</si>
  <si>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</si>
  <si>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</si>
  <si>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</si>
  <si>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</si>
  <si>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</si>
  <si>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</si>
  <si>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</si>
  <si>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</si>
  <si>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</si>
  <si>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</si>
  <si>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</si>
  <si>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</si>
  <si>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</si>
  <si>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</si>
  <si>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</si>
  <si>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</si>
  <si>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</si>
  <si>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</si>
  <si>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</si>
  <si>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</si>
  <si>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</si>
  <si>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</si>
  <si>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</si>
  <si>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</si>
  <si>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</si>
  <si>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</si>
  <si>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</si>
  <si>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</si>
  <si>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</si>
  <si>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</si>
  <si>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</si>
  <si>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</si>
  <si>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</si>
  <si>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</si>
  <si>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</si>
  <si>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</si>
  <si>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</si>
  <si>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</si>
  <si>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</si>
  <si>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</si>
  <si>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</si>
  <si>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</si>
  <si>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</si>
  <si>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</si>
  <si>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</si>
  <si>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</si>
  <si>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</si>
  <si>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</si>
  <si>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</si>
  <si>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</si>
  <si>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</si>
  <si>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</si>
  <si>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</si>
  <si>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</si>
  <si>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</si>
  <si>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</si>
  <si>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</si>
  <si>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</si>
  <si>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</si>
  <si>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</si>
  <si>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</si>
  <si>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</si>
  <si>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</si>
  <si>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</si>
  <si>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</si>
  <si>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</si>
  <si>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</si>
  <si>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</si>
  <si>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</si>
  <si>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</si>
  <si>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</si>
  <si>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</si>
  <si>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</si>
  <si>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</si>
  <si>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</si>
  <si>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</si>
  <si>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</si>
  <si>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</si>
  <si>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</si>
  <si>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</si>
  <si>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</si>
  <si>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</si>
  <si>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</si>
  <si>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</si>
  <si>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</si>
  <si>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</si>
  <si>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</si>
  <si>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</si>
  <si>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</si>
  <si>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</si>
  <si>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</si>
  <si>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</si>
  <si>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</si>
  <si>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</si>
  <si>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</si>
  <si>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</si>
  <si>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</si>
  <si>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</si>
  <si>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</si>
  <si>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</si>
  <si>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</si>
  <si>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</si>
  <si>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</si>
  <si>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</si>
  <si>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</si>
  <si>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</si>
  <si>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</si>
  <si>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</si>
  <si>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</si>
  <si>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</si>
  <si>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</si>
  <si>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</si>
  <si>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</si>
  <si>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</si>
  <si>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</si>
  <si>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</si>
  <si>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</si>
  <si>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</si>
  <si>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</si>
  <si>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</si>
  <si>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</si>
  <si>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</si>
  <si>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</si>
  <si>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</si>
  <si>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</si>
  <si>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</si>
  <si>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</si>
  <si>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</si>
  <si>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</si>
  <si>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</si>
  <si>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</si>
  <si>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</si>
  <si>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</si>
  <si>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</si>
  <si>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</si>
  <si>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</si>
  <si>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</si>
  <si>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</si>
  <si>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</si>
  <si>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</si>
  <si>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</si>
  <si>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</si>
  <si>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</si>
  <si>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</si>
  <si>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</si>
  <si>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</si>
  <si>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</si>
  <si>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</si>
  <si>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</si>
  <si>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</si>
  <si>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</si>
  <si>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</si>
  <si>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</si>
  <si>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</si>
  <si>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</si>
  <si>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</si>
  <si>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</si>
  <si>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</si>
  <si>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</si>
  <si>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</si>
  <si>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</si>
  <si>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</si>
  <si>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</si>
  <si>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</si>
  <si>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</si>
  <si>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</si>
  <si>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</si>
  <si>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</si>
  <si>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</si>
  <si>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</si>
  <si>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</si>
  <si>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</si>
  <si>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</si>
  <si>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</si>
  <si>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</si>
  <si>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</si>
  <si>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</si>
  <si>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</si>
  <si>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</si>
  <si>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</si>
  <si>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</si>
  <si>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</si>
  <si>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</si>
  <si>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</si>
  <si>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</si>
  <si>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</si>
  <si>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</si>
  <si>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</si>
  <si>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</si>
  <si>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</si>
  <si>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</si>
  <si>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</si>
  <si>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</si>
  <si>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</si>
  <si>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</si>
  <si>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</si>
  <si>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</si>
  <si>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</si>
  <si>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</si>
  <si>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</si>
  <si>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</si>
  <si>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</si>
  <si>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</si>
  <si>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</si>
  <si>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</si>
  <si>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</si>
  <si>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</si>
  <si>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</si>
  <si>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</si>
  <si>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</si>
  <si>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</si>
  <si>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</si>
  <si>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</si>
  <si>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</si>
  <si>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</si>
  <si>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</si>
  <si>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</si>
  <si>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</si>
  <si>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</si>
  <si>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</si>
  <si>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</si>
  <si>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</si>
  <si>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</si>
  <si>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</si>
  <si>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</si>
  <si>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</si>
  <si>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</si>
  <si>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</si>
  <si>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</si>
  <si>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</si>
  <si>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</si>
  <si>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</si>
  <si>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</si>
  <si>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</si>
  <si>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</si>
  <si>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</si>
  <si>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</si>
  <si>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</si>
  <si>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</si>
  <si>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</si>
  <si>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</si>
  <si>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</si>
  <si>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</si>
  <si>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</si>
  <si>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</si>
  <si>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</si>
  <si>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</si>
  <si>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</si>
  <si>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</si>
  <si>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</si>
  <si>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</si>
  <si>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</si>
  <si>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</si>
  <si>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</si>
  <si>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</si>
  <si>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</si>
  <si>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</si>
  <si>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</si>
  <si>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</si>
  <si>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</si>
  <si>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</si>
  <si>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</si>
  <si>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</si>
  <si>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</si>
  <si>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</si>
  <si>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</si>
  <si>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</si>
  <si>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</si>
  <si>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</si>
  <si>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</si>
  <si>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</si>
  <si>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</si>
  <si>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</si>
  <si>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</si>
  <si>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</si>
  <si>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</si>
  <si>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</si>
  <si>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</si>
  <si>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</si>
  <si>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</si>
  <si>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</si>
  <si>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</si>
  <si>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</si>
  <si>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</si>
  <si>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</si>
  <si>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</si>
  <si>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</si>
  <si>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</si>
  <si>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</si>
  <si>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</si>
  <si>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</si>
  <si>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</si>
  <si>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</si>
  <si>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</si>
  <si>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</si>
  <si>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</si>
  <si>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</si>
  <si>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</si>
  <si>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</si>
  <si>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</si>
  <si>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</si>
  <si>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</si>
  <si>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</si>
  <si>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</si>
  <si>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</si>
  <si>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</si>
  <si>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</si>
  <si>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</si>
  <si>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</si>
  <si>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</si>
  <si>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</si>
  <si>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</si>
  <si>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</si>
  <si>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</si>
  <si>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</si>
  <si>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</si>
  <si>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</si>
  <si>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</si>
  <si>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</si>
  <si>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</si>
  <si>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</si>
  <si>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</si>
  <si>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</si>
  <si>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</si>
  <si>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</si>
  <si>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</si>
  <si>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</si>
  <si>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</si>
  <si>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</si>
  <si>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</si>
  <si>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</si>
  <si>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</si>
  <si>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</si>
  <si>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</si>
  <si>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</si>
  <si>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</si>
  <si>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</si>
  <si>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</si>
  <si>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</si>
  <si>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</si>
  <si>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</si>
  <si>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</si>
  <si>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</si>
  <si>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</si>
  <si>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</si>
  <si>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</si>
  <si>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</si>
  <si>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</si>
  <si>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</si>
  <si>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</si>
  <si>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</si>
  <si>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</si>
  <si>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</si>
  <si>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</si>
  <si>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</si>
  <si>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</si>
  <si>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</si>
  <si>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</si>
  <si>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</si>
  <si>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</si>
  <si>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</si>
  <si>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</si>
  <si>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</si>
  <si>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</si>
  <si>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</si>
  <si>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</si>
  <si>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</si>
  <si>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</si>
  <si>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</si>
  <si>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</si>
  <si>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</si>
  <si>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</si>
  <si>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</si>
  <si>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</si>
  <si>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</si>
  <si>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</si>
  <si>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</si>
  <si>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</si>
  <si>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</si>
  <si>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</si>
  <si>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</si>
  <si>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</si>
  <si>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</si>
  <si>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</si>
  <si>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</si>
  <si>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</si>
  <si>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</si>
  <si>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</si>
  <si>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</si>
  <si>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</si>
  <si>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</si>
  <si>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</si>
  <si>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</si>
  <si>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</si>
  <si>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</si>
  <si>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</si>
  <si>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</si>
  <si>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</si>
  <si>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</si>
  <si>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</si>
  <si>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</si>
  <si>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</si>
  <si>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</si>
  <si>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</si>
  <si>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</si>
  <si>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</si>
  <si>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</si>
  <si>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</si>
  <si>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</si>
  <si>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</si>
  <si>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</si>
  <si>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</si>
  <si>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</si>
  <si>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</si>
  <si>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</si>
  <si>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</si>
  <si>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</si>
  <si>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</si>
  <si>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</si>
  <si>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</si>
  <si>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</si>
  <si>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</si>
  <si>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</si>
  <si>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</si>
  <si>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</si>
  <si>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</si>
  <si>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</si>
  <si>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</si>
  <si>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</si>
  <si>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</si>
  <si>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</si>
  <si>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</si>
  <si>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</si>
  <si>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</si>
  <si>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</si>
  <si>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</si>
  <si>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</si>
  <si>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</si>
  <si>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</si>
  <si>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</si>
  <si>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</si>
  <si>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</si>
  <si>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</si>
  <si>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</si>
  <si>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</si>
  <si>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</si>
  <si>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</si>
  <si>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</si>
  <si>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</si>
  <si>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</si>
  <si>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</si>
  <si>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</si>
  <si>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</si>
  <si>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</si>
  <si>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</si>
  <si>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</si>
  <si>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</si>
  <si>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</si>
  <si>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</si>
  <si>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</si>
  <si>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</si>
  <si>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</si>
  <si>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</si>
  <si>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</si>
  <si>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</si>
  <si>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</si>
  <si>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</si>
  <si>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</si>
  <si>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</si>
  <si>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</si>
  <si>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</si>
  <si>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</si>
  <si>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</si>
  <si>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</si>
  <si>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</si>
  <si>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</si>
  <si>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</si>
  <si>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</si>
  <si>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</si>
  <si>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</si>
  <si>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</si>
  <si>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</si>
  <si>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</si>
  <si>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</si>
  <si>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</si>
  <si>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</si>
  <si>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</si>
  <si>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</si>
  <si>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</si>
  <si>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</si>
  <si>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</si>
  <si>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</si>
  <si>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</si>
  <si>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</si>
  <si>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</si>
  <si>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</si>
  <si>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</si>
  <si>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</si>
  <si>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</si>
  <si>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</si>
  <si>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</si>
  <si>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</si>
  <si>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</si>
  <si>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</si>
  <si>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</si>
  <si>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</si>
  <si>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</si>
  <si>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</si>
  <si>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</si>
  <si>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</si>
  <si>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</si>
  <si>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</si>
  <si>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</si>
  <si>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</si>
  <si>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</si>
  <si>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</si>
  <si>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</si>
  <si>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</si>
  <si>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</si>
  <si>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</si>
  <si>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</si>
  <si>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</si>
  <si>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</si>
  <si>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</si>
  <si>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</si>
  <si>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</si>
  <si>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</si>
  <si>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</si>
  <si>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</si>
  <si>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</si>
  <si>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</si>
  <si>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</si>
  <si>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</si>
  <si>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</si>
  <si>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</si>
  <si>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</si>
  <si>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</si>
  <si>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</si>
  <si>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</si>
  <si>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</si>
  <si>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</si>
  <si>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</si>
  <si>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</si>
  <si>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</si>
  <si>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</si>
  <si>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</si>
  <si>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</si>
  <si>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</si>
  <si>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</si>
  <si>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</si>
  <si>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</si>
  <si>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</si>
  <si>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</si>
  <si>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</si>
  <si>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</si>
  <si>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</si>
  <si>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</si>
  <si>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</si>
  <si>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</si>
  <si>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</si>
  <si>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</si>
  <si>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</si>
  <si>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</si>
  <si>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</si>
  <si>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</si>
  <si>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</si>
  <si>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</si>
  <si>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</si>
  <si>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</si>
  <si>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</si>
  <si>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</si>
  <si>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</si>
  <si>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</si>
  <si>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</si>
  <si>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</si>
  <si>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</si>
  <si>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</si>
  <si>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</si>
  <si>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</si>
  <si>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</si>
  <si>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</si>
  <si>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</si>
  <si>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</si>
  <si>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</si>
  <si>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</si>
  <si>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</si>
  <si>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</si>
  <si>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</si>
  <si>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</si>
  <si>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</si>
  <si>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</si>
  <si>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</si>
  <si>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</si>
  <si>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</si>
  <si>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</si>
  <si>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</si>
  <si>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</si>
  <si>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</si>
  <si>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</si>
  <si>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</si>
  <si>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</si>
  <si>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</si>
  <si>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</si>
  <si>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</si>
  <si>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</si>
  <si>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</si>
  <si>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</si>
  <si>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</si>
  <si>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</si>
  <si>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</si>
  <si>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</si>
  <si>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</si>
  <si>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</si>
  <si>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</si>
  <si>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</si>
  <si>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</si>
  <si>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</si>
  <si>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</si>
  <si>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</si>
  <si>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</si>
  <si>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</si>
  <si>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</si>
  <si>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</si>
  <si>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</si>
  <si>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</si>
  <si>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</si>
  <si>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</si>
  <si>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</si>
  <si>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</si>
  <si>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</si>
  <si>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</si>
  <si>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</si>
  <si>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</si>
  <si>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</si>
  <si>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</si>
  <si>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</si>
  <si>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</si>
  <si>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</si>
  <si>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</si>
  <si>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</si>
  <si>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</si>
  <si>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</si>
  <si>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</si>
  <si>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</si>
  <si>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</si>
  <si>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</si>
  <si>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</si>
  <si>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</si>
  <si>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</si>
  <si>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</si>
  <si>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</si>
  <si>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</si>
  <si>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</si>
  <si>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</si>
  <si>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</si>
  <si>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</si>
  <si>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</si>
  <si>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</si>
  <si>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</si>
  <si>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</si>
  <si>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</si>
  <si>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</si>
  <si>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</si>
  <si>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</si>
  <si>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</si>
  <si>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</si>
  <si>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</si>
  <si>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</si>
  <si>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</si>
  <si>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</si>
  <si>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</si>
  <si>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</si>
  <si>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</si>
  <si>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</si>
  <si>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</si>
  <si>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</si>
  <si>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</si>
  <si>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</si>
  <si>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</si>
  <si>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</si>
  <si>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</si>
  <si>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</si>
  <si>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</si>
  <si>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</si>
  <si>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</si>
  <si>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</si>
  <si>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</si>
  <si>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</si>
  <si>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</si>
  <si>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</si>
  <si>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</si>
  <si>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</si>
  <si>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</si>
  <si>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</si>
  <si>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</si>
  <si>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</si>
  <si>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</si>
  <si>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</si>
  <si>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</si>
  <si>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</si>
  <si>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</si>
  <si>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</si>
  <si>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</si>
  <si>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</si>
  <si>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</si>
  <si>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</si>
  <si>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</si>
  <si>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</si>
  <si>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</si>
  <si>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</si>
  <si>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</si>
  <si>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</si>
  <si>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</si>
  <si>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</si>
  <si>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</si>
  <si>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</si>
  <si>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</si>
  <si>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</si>
  <si>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</si>
  <si>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</si>
  <si>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</si>
  <si>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</si>
  <si>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</si>
  <si>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</si>
  <si>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</si>
  <si>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</si>
  <si>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</si>
  <si>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</si>
  <si>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</si>
  <si>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</si>
  <si>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</si>
  <si>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</si>
  <si>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</si>
  <si>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</si>
  <si>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</si>
  <si>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</si>
  <si>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</si>
  <si>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</si>
  <si>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</si>
  <si>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</si>
  <si>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</si>
  <si>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</si>
  <si>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</si>
  <si>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</si>
  <si>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</si>
  <si>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</si>
  <si>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</si>
  <si>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</si>
  <si>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</si>
  <si>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</si>
  <si>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</si>
  <si>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</si>
  <si>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</si>
  <si>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</si>
  <si>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</si>
  <si>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</si>
  <si>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</si>
  <si>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</si>
  <si>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</si>
  <si>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</si>
  <si>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</si>
  <si>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</si>
  <si>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</si>
  <si>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</si>
  <si>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</si>
  <si>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</si>
  <si>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</si>
  <si>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</si>
  <si>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</si>
  <si>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</si>
  <si>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</si>
  <si>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</si>
  <si>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</si>
  <si>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</si>
  <si>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</si>
  <si>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</si>
  <si>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</si>
  <si>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</si>
  <si>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</si>
  <si>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</si>
  <si>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</si>
  <si>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</si>
  <si>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</si>
  <si>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</si>
  <si>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</si>
  <si>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</si>
  <si>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</si>
  <si>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</si>
  <si>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</si>
  <si>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</si>
  <si>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</si>
  <si>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</si>
  <si>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</si>
  <si>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</si>
  <si>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</si>
  <si>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</si>
  <si>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</si>
  <si>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</si>
  <si>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</si>
  <si>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</si>
  <si>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</si>
  <si>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</si>
  <si>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</si>
  <si>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</si>
  <si>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</si>
  <si>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</si>
  <si>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</si>
  <si>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</si>
  <si>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</si>
  <si>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</si>
  <si>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</si>
  <si>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</si>
  <si>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</si>
  <si>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</si>
  <si>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</si>
  <si>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</si>
  <si>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</si>
  <si>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</si>
  <si>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</si>
  <si>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</si>
  <si>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</si>
  <si>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</si>
  <si>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</si>
  <si>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</si>
  <si>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</si>
  <si>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</si>
  <si>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</si>
  <si>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</si>
  <si>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</si>
  <si>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</si>
  <si>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</si>
  <si>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</si>
  <si>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</si>
  <si>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</si>
  <si>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</si>
  <si>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</si>
  <si>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</si>
  <si>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</si>
  <si>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</si>
  <si>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</si>
  <si>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</si>
  <si>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</si>
  <si>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</si>
  <si>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</si>
  <si>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</si>
  <si>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</si>
  <si>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</si>
  <si>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</si>
  <si>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</si>
  <si>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</si>
  <si>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</si>
  <si>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</si>
  <si>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</si>
  <si>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</si>
  <si>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</si>
  <si>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</si>
  <si>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</si>
  <si>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</si>
  <si>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</si>
  <si>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</si>
  <si>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</si>
  <si>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</si>
  <si>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</si>
  <si>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</si>
  <si>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</si>
  <si>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</si>
  <si>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</si>
  <si>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</si>
  <si>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</si>
  <si>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</si>
  <si>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</si>
  <si>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</si>
  <si>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</si>
  <si>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</si>
  <si>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</si>
  <si>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</si>
  <si>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</si>
  <si>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</si>
  <si>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</si>
  <si>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</si>
  <si>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</si>
  <si>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</si>
  <si>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</si>
  <si>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</si>
  <si>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</si>
  <si>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</si>
  <si>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</si>
  <si>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</si>
  <si>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</si>
  <si>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</si>
  <si>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</si>
  <si>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</si>
  <si>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</si>
  <si>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</si>
  <si>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</si>
  <si>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</si>
  <si>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</si>
  <si>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</si>
  <si>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</si>
  <si>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</si>
  <si>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</si>
  <si>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</si>
  <si>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</si>
  <si>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</si>
  <si>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</si>
  <si>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</si>
  <si>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</si>
  <si>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</si>
  <si>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</si>
  <si>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</si>
  <si>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</si>
  <si>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</si>
  <si>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</si>
  <si>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</si>
  <si>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</si>
  <si>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</si>
  <si>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</si>
  <si>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</si>
  <si>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</si>
  <si>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</si>
  <si>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</si>
  <si>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</si>
  <si>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</si>
  <si>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</si>
  <si>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</si>
  <si>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</si>
  <si>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</si>
  <si>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</si>
  <si>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</si>
  <si>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</si>
  <si>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</si>
  <si>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</si>
  <si>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</si>
  <si>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</si>
  <si>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</si>
  <si>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</si>
  <si>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</si>
  <si>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</si>
  <si>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</si>
  <si>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</si>
  <si>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</si>
  <si>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</si>
  <si>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</si>
  <si>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</si>
  <si>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</si>
  <si>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</si>
  <si>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</si>
  <si>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</si>
  <si>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</si>
  <si>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</si>
  <si>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</si>
  <si>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</si>
  <si>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</si>
  <si>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</si>
  <si>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</si>
  <si>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</si>
  <si>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</si>
  <si>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</si>
  <si>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</si>
  <si>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</si>
  <si>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</si>
  <si>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</si>
  <si>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</si>
  <si>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</si>
  <si>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</si>
  <si>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</si>
  <si>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</si>
  <si>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</si>
  <si>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</si>
  <si>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</si>
  <si>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</si>
  <si>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</si>
  <si>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</si>
  <si>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</si>
  <si>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</si>
  <si>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</si>
  <si>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</si>
  <si>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</si>
  <si>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</si>
  <si>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</si>
  <si>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</si>
  <si>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</si>
  <si>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</si>
  <si>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</si>
  <si>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</si>
  <si>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</si>
  <si>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</si>
  <si>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</si>
  <si>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</si>
  <si>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</si>
  <si>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</si>
  <si>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</si>
  <si>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</si>
  <si>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</si>
  <si>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</si>
  <si>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</si>
  <si>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</si>
  <si>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</si>
  <si>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</si>
  <si>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</si>
  <si>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</si>
  <si>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</si>
  <si>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</si>
  <si>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</si>
  <si>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</si>
  <si>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</si>
  <si>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</si>
  <si>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</si>
  <si>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</si>
  <si>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</si>
  <si>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</si>
  <si>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</si>
  <si>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</si>
  <si>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</si>
  <si>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</si>
  <si>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</si>
  <si>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</si>
  <si>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</si>
  <si>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</si>
  <si>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</si>
  <si>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</si>
  <si>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</si>
  <si>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</si>
  <si>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</si>
  <si>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</si>
  <si>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</si>
  <si>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</si>
  <si>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</si>
  <si>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</si>
  <si>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</si>
  <si>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EZ1</t>
  </si>
  <si>
    <t>F174743</t>
  </si>
  <si>
    <t>KJLTVR411600R01</t>
  </si>
  <si>
    <t>LTVR4</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</si>
</sst>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2">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11" fontId="3" fillId="24" borderId="62" xfId="0" applyNumberFormat="1" applyFont="1" applyFill="1" applyBorder="1" applyAlignment="1" applyProtection="1">
      <alignment horizontal="right"/>
      <protection locked="0"/>
    </xf>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67.099999999999994</c:v>
                </c:pt>
                <c:pt idx="2">
                  <c:v>59</c:v>
                </c:pt>
                <c:pt idx="3">
                  <c:v>59</c:v>
                </c:pt>
                <c:pt idx="4">
                  <c:v>9</c:v>
                </c:pt>
                <c:pt idx="6">
                  <c:v>49.4</c:v>
                </c:pt>
                <c:pt idx="7">
                  <c:v>49.300000000000004</c:v>
                </c:pt>
                <c:pt idx="8">
                  <c:v>4.3</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458240"/>
        <c:axId val="74459776"/>
      </c:barChart>
      <c:catAx>
        <c:axId val="74458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459776"/>
        <c:crossesAt val="0"/>
        <c:auto val="1"/>
        <c:lblAlgn val="ctr"/>
        <c:lblOffset val="100"/>
        <c:tickLblSkip val="1"/>
        <c:tickMarkSkip val="1"/>
        <c:noMultiLvlLbl val="0"/>
      </c:catAx>
      <c:valAx>
        <c:axId val="74459776"/>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458240"/>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69.582523667975622</c:v>
                </c:pt>
              </c:numCache>
            </c:numRef>
          </c:xVal>
          <c:yVal>
            <c:numRef>
              <c:f>'Diagram Data'!$F$25</c:f>
              <c:numCache>
                <c:formatCode>0.00</c:formatCode>
                <c:ptCount val="1"/>
                <c:pt idx="0">
                  <c:v>792.97116048581427</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4482432"/>
        <c:axId val="74484352"/>
      </c:scatterChart>
      <c:valAx>
        <c:axId val="7448243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484352"/>
        <c:crosses val="autoZero"/>
        <c:crossBetween val="midCat"/>
      </c:valAx>
      <c:valAx>
        <c:axId val="7448435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48243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69.539324451501699</c:v>
                </c:pt>
              </c:numCache>
            </c:numRef>
          </c:xVal>
          <c:yVal>
            <c:numRef>
              <c:f>'Diagram Data'!$F$29</c:f>
              <c:numCache>
                <c:formatCode>0.00</c:formatCode>
                <c:ptCount val="1"/>
                <c:pt idx="0">
                  <c:v>792.97116048581427</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6153984"/>
        <c:axId val="76155904"/>
      </c:scatterChart>
      <c:valAx>
        <c:axId val="76153984"/>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6155904"/>
        <c:crosses val="autoZero"/>
        <c:crossBetween val="midCat"/>
      </c:valAx>
      <c:valAx>
        <c:axId val="76155904"/>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6153984"/>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3.3325658866850958</c:v>
                </c:pt>
              </c:numCache>
            </c:numRef>
          </c:xVal>
          <c:yVal>
            <c:numRef>
              <c:f>'Diagram Data'!$F$33</c:f>
              <c:numCache>
                <c:formatCode>0.00</c:formatCode>
                <c:ptCount val="1"/>
                <c:pt idx="0">
                  <c:v>64.232575566655314</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76207616"/>
        <c:axId val="76209536"/>
      </c:scatterChart>
      <c:valAx>
        <c:axId val="7620761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6209536"/>
        <c:crosses val="autoZero"/>
        <c:crossBetween val="midCat"/>
      </c:valAx>
      <c:valAx>
        <c:axId val="7620953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620761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69.582107068099475</c:v>
                </c:pt>
                <c:pt idx="1">
                  <c:v>69.362998871058295</c:v>
                </c:pt>
                <c:pt idx="2">
                  <c:v>68.725730610399779</c:v>
                </c:pt>
                <c:pt idx="3">
                  <c:v>67.841629697746868</c:v>
                </c:pt>
                <c:pt idx="4">
                  <c:v>66.948691704678708</c:v>
                </c:pt>
                <c:pt idx="5">
                  <c:v>66.286718499876926</c:v>
                </c:pt>
                <c:pt idx="6">
                  <c:v>66.032474537103127</c:v>
                </c:pt>
                <c:pt idx="7">
                  <c:v>66.25292376825773</c:v>
                </c:pt>
                <c:pt idx="8">
                  <c:v>66.888498314049997</c:v>
                </c:pt>
                <c:pt idx="9">
                  <c:v>67.769565831952889</c:v>
                </c:pt>
                <c:pt idx="10">
                  <c:v>68.661162451435359</c:v>
                </c:pt>
                <c:pt idx="11">
                  <c:v>69.324828016435134</c:v>
                </c:pt>
                <c:pt idx="12">
                  <c:v>69.582107068099475</c:v>
                </c:pt>
                <c:pt idx="13">
                  <c:v>69.362998871058295</c:v>
                </c:pt>
                <c:pt idx="14">
                  <c:v>68.725730610399779</c:v>
                </c:pt>
                <c:pt idx="15">
                  <c:v>67.841629697746896</c:v>
                </c:pt>
                <c:pt idx="16">
                  <c:v>66.948691704678708</c:v>
                </c:pt>
                <c:pt idx="17">
                  <c:v>66.286718499876926</c:v>
                </c:pt>
                <c:pt idx="18">
                  <c:v>66.032474537103127</c:v>
                </c:pt>
                <c:pt idx="19">
                  <c:v>66.25292376825773</c:v>
                </c:pt>
                <c:pt idx="20">
                  <c:v>66.888498314050011</c:v>
                </c:pt>
                <c:pt idx="21">
                  <c:v>67.769565831952889</c:v>
                </c:pt>
                <c:pt idx="22">
                  <c:v>68.661162451435359</c:v>
                </c:pt>
                <c:pt idx="23">
                  <c:v>69.324828016435134</c:v>
                </c:pt>
                <c:pt idx="24">
                  <c:v>69.582107068099475</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65.858440761557802</c:v>
                </c:pt>
                <c:pt idx="1">
                  <c:v>66.041403420183826</c:v>
                </c:pt>
                <c:pt idx="2">
                  <c:v>66.667902595887242</c:v>
                </c:pt>
                <c:pt idx="3">
                  <c:v>67.570068340479565</c:v>
                </c:pt>
                <c:pt idx="4">
                  <c:v>68.506166071258264</c:v>
                </c:pt>
                <c:pt idx="5">
                  <c:v>69.225369157224549</c:v>
                </c:pt>
                <c:pt idx="6">
                  <c:v>69.534967712299817</c:v>
                </c:pt>
                <c:pt idx="7">
                  <c:v>69.352005053673793</c:v>
                </c:pt>
                <c:pt idx="8">
                  <c:v>68.725505877970377</c:v>
                </c:pt>
                <c:pt idx="9">
                  <c:v>67.823340133378053</c:v>
                </c:pt>
                <c:pt idx="10">
                  <c:v>66.887242402599355</c:v>
                </c:pt>
                <c:pt idx="11">
                  <c:v>66.16803931663307</c:v>
                </c:pt>
                <c:pt idx="12">
                  <c:v>65.858440761557802</c:v>
                </c:pt>
                <c:pt idx="13">
                  <c:v>66.041403420183826</c:v>
                </c:pt>
                <c:pt idx="14">
                  <c:v>66.667902595887242</c:v>
                </c:pt>
                <c:pt idx="15">
                  <c:v>67.570068340479565</c:v>
                </c:pt>
                <c:pt idx="16">
                  <c:v>68.506166071258264</c:v>
                </c:pt>
                <c:pt idx="17">
                  <c:v>69.225369157224549</c:v>
                </c:pt>
                <c:pt idx="18">
                  <c:v>69.534967712299817</c:v>
                </c:pt>
                <c:pt idx="19">
                  <c:v>69.352005053673793</c:v>
                </c:pt>
                <c:pt idx="20">
                  <c:v>68.725505877970392</c:v>
                </c:pt>
                <c:pt idx="21">
                  <c:v>67.823340133378053</c:v>
                </c:pt>
                <c:pt idx="22">
                  <c:v>66.887242402599355</c:v>
                </c:pt>
                <c:pt idx="23">
                  <c:v>66.16803931663307</c:v>
                </c:pt>
                <c:pt idx="24">
                  <c:v>65.858440761557802</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0.62005874309649767</c:v>
                </c:pt>
              </c:numCache>
            </c:numRef>
          </c:xVal>
          <c:yVal>
            <c:numRef>
              <c:f>'Payload Input'!$J$89</c:f>
              <c:numCache>
                <c:formatCode>General</c:formatCode>
                <c:ptCount val="1"/>
                <c:pt idx="0">
                  <c:v>69.582523667975622</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91.970407760032188</c:v>
                </c:pt>
              </c:numCache>
            </c:numRef>
          </c:xVal>
          <c:yVal>
            <c:numRef>
              <c:f>'Payload Input'!$K$90</c:f>
              <c:numCache>
                <c:formatCode>General</c:formatCode>
                <c:ptCount val="1"/>
                <c:pt idx="0">
                  <c:v>69.539324451501699</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3.3325658866850958</c:v>
                </c:pt>
              </c:numCache>
            </c:numRef>
          </c:yVal>
          <c:smooth val="1"/>
        </c:ser>
        <c:dLbls>
          <c:showLegendKey val="0"/>
          <c:showVal val="0"/>
          <c:showCatName val="0"/>
          <c:showSerName val="0"/>
          <c:showPercent val="0"/>
          <c:showBubbleSize val="0"/>
        </c:dLbls>
        <c:axId val="76004736"/>
        <c:axId val="76019200"/>
      </c:scatterChart>
      <c:valAx>
        <c:axId val="7600473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76019200"/>
        <c:crosses val="autoZero"/>
        <c:crossBetween val="midCat"/>
      </c:valAx>
      <c:valAx>
        <c:axId val="7601920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7600473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3407232"/>
        <c:axId val="83408768"/>
      </c:scatterChart>
      <c:valAx>
        <c:axId val="8340723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3408768"/>
        <c:crosses val="autoZero"/>
        <c:crossBetween val="midCat"/>
      </c:valAx>
      <c:valAx>
        <c:axId val="8340876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340723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6" sqref="G6:H6"/>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8" t="s">
        <v>4041</v>
      </c>
      <c r="H4" s="969"/>
    </row>
    <row r="5" spans="1:8" s="83" customFormat="1" ht="15">
      <c r="B5" s="280"/>
      <c r="C5" s="285">
        <f>VLOOKUP('Misc Data'!$B$26,Table1,17)</f>
        <v>0</v>
      </c>
      <c r="F5" s="787" t="s">
        <v>3950</v>
      </c>
      <c r="G5" s="970" t="s">
        <v>4042</v>
      </c>
      <c r="H5" s="974"/>
    </row>
    <row r="6" spans="1:8" s="83" customFormat="1" ht="15">
      <c r="B6" s="280" t="s">
        <v>3936</v>
      </c>
      <c r="C6" s="794" t="str">
        <f>'Misc Data'!C11</f>
        <v>CofG - SI</v>
      </c>
      <c r="F6" s="787" t="s">
        <v>3951</v>
      </c>
      <c r="G6" s="970" t="s">
        <v>4043</v>
      </c>
      <c r="H6" s="971"/>
    </row>
    <row r="7" spans="1:8" s="83" customFormat="1" ht="15">
      <c r="B7" s="280" t="s">
        <v>3937</v>
      </c>
      <c r="C7" s="795">
        <f>Summary!C7</f>
        <v>1</v>
      </c>
      <c r="E7" s="91"/>
      <c r="F7" s="787" t="s">
        <v>3952</v>
      </c>
      <c r="G7" s="970" t="s">
        <v>4039</v>
      </c>
      <c r="H7" s="971"/>
    </row>
    <row r="8" spans="1:8" ht="15.75" thickBot="1">
      <c r="B8" s="782" t="s">
        <v>4035</v>
      </c>
      <c r="C8" s="796">
        <f>'Payload Input'!$E$26</f>
        <v>0.23499999999999999</v>
      </c>
      <c r="D8" s="83"/>
      <c r="F8" s="788" t="s">
        <v>3953</v>
      </c>
      <c r="G8" s="972" t="s">
        <v>4040</v>
      </c>
      <c r="H8" s="973"/>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141.1</v>
      </c>
      <c r="F11" s="785" t="s">
        <v>3955</v>
      </c>
      <c r="G11" s="169"/>
      <c r="H11" s="133" t="str">
        <f>'Wrist Load Analysis'!R14</f>
        <v>OK</v>
      </c>
    </row>
    <row r="12" spans="1:8">
      <c r="B12" s="163" t="str">
        <f>IF(Anal_Robot_Code=46,"--------------------------------",HLOOKUP(Anal_Payload_Code,Unit_text,10))</f>
        <v>J3 Arm/J3 Casing Load (kg)</v>
      </c>
      <c r="C12" s="338">
        <v>24</v>
      </c>
      <c r="F12" s="785" t="s">
        <v>3912</v>
      </c>
      <c r="G12" s="149"/>
      <c r="H12" s="170" t="str">
        <f>'Wrist Load Analysis'!R15</f>
        <v>OK</v>
      </c>
    </row>
    <row r="13" spans="1:8">
      <c r="B13" s="163" t="str">
        <f>HLOOKUP(Anal_Payload_Code,Unit_text,4)</f>
        <v>Payload Center X (m)</v>
      </c>
      <c r="C13" s="338">
        <v>2.1911969999999999E-2</v>
      </c>
      <c r="F13" s="785" t="s">
        <v>3913</v>
      </c>
      <c r="G13" s="151"/>
      <c r="H13" s="170" t="str">
        <f>'Wrist Load Analysis'!R16</f>
        <v>OK</v>
      </c>
    </row>
    <row r="14" spans="1:8" ht="13.5" thickBot="1">
      <c r="B14" s="163" t="str">
        <f>HLOOKUP(Anal_Payload_Code,Unit_text,5)</f>
        <v>Payload Center Y (m)</v>
      </c>
      <c r="C14" s="965">
        <v>4.0958910000000001E-2</v>
      </c>
      <c r="F14" s="786" t="s">
        <v>3914</v>
      </c>
      <c r="G14" s="70"/>
      <c r="H14" s="443" t="str">
        <f>'Wrist Load Analysis'!R17</f>
        <v>OK</v>
      </c>
    </row>
    <row r="15" spans="1:8">
      <c r="B15" s="163" t="str">
        <f>IF(Axis_Type=1,"--------------------------------",HLOOKUP(Anal_Payload_Code,Unit_text,6))</f>
        <v>Payload Center Z (m)</v>
      </c>
      <c r="C15" s="338">
        <v>0.33657710000000002</v>
      </c>
      <c r="F15" s="444"/>
      <c r="G15" s="169"/>
      <c r="H15" s="169"/>
    </row>
    <row r="16" spans="1:8">
      <c r="A16" s="264"/>
      <c r="B16" s="163" t="str">
        <f>HLOOKUP(Anal_Payload_Code,Unit_text,7)</f>
        <v>Payload Inertia Ix (Kg.m^2)</v>
      </c>
      <c r="C16" s="338">
        <v>23.20083</v>
      </c>
      <c r="E16" s="264"/>
      <c r="F16" s="5"/>
      <c r="G16" s="151"/>
      <c r="H16" s="151"/>
    </row>
    <row r="17" spans="1:8" ht="13.5" thickBot="1">
      <c r="B17" s="265" t="str">
        <f>HLOOKUP(Anal_Payload_Code,Unit_text,8)</f>
        <v>Payload Inertia Iy (Kg.m^2)</v>
      </c>
      <c r="C17" s="339">
        <v>19.693269999999998</v>
      </c>
      <c r="D17" s="264"/>
      <c r="F17" s="12"/>
      <c r="G17" s="263"/>
      <c r="H17" s="263"/>
    </row>
    <row r="18" spans="1:8" ht="16.149999999999999" customHeight="1" thickBot="1">
      <c r="B18" s="412" t="str">
        <f>IF(Axis_Type=1,"--------------------------------",HLOOKUP(Anal_Payload_Code,Unit_text,9))</f>
        <v>Payload Inertia Iz (Kg.m^2)</v>
      </c>
      <c r="C18" s="548">
        <v>3.028105</v>
      </c>
      <c r="F18" s="780" t="s">
        <v>3956</v>
      </c>
      <c r="G18" s="168"/>
      <c r="H18" s="167"/>
    </row>
    <row r="19" spans="1:8" ht="16.5" thickBot="1">
      <c r="A19" s="264"/>
      <c r="C19" s="192"/>
      <c r="D19" s="192"/>
      <c r="E19" s="264"/>
      <c r="F19" s="789" t="s">
        <v>4037</v>
      </c>
      <c r="G19" s="171"/>
      <c r="H19" s="325">
        <f>'Wrist Load Analysis'!R20</f>
        <v>67.099999999999994</v>
      </c>
    </row>
    <row r="20" spans="1:8" ht="15.75" thickBot="1">
      <c r="A20" s="264"/>
      <c r="B20" s="780" t="s">
        <v>3938</v>
      </c>
      <c r="C20" s="783" t="s">
        <v>3939</v>
      </c>
      <c r="D20" s="784" t="s">
        <v>3940</v>
      </c>
      <c r="E20" s="264"/>
      <c r="F20" s="966" t="s">
        <v>4038</v>
      </c>
      <c r="G20" s="967"/>
      <c r="H20" s="408">
        <f>ROUNDDOWN(Payload_lim_J3,1)</f>
        <v>210.4</v>
      </c>
    </row>
    <row r="21" spans="1:8">
      <c r="A21" s="264"/>
      <c r="B21" s="785" t="s">
        <v>4036</v>
      </c>
      <c r="C21" s="336">
        <f>VLOOKUP('Misc Data'!$B$26,Table1,12)</f>
        <v>210</v>
      </c>
      <c r="D21" s="365">
        <f>'Wrist Load Analysis'!R6</f>
        <v>141.1</v>
      </c>
      <c r="E21" s="264"/>
      <c r="F21" s="790" t="s">
        <v>3957</v>
      </c>
      <c r="G21" s="378"/>
      <c r="H21" s="363"/>
    </row>
    <row r="22" spans="1:8">
      <c r="A22" s="264"/>
      <c r="B22" s="785" t="s">
        <v>3941</v>
      </c>
      <c r="C22" s="336">
        <f>IF(VLOOKUP(Anal_Robot_Code,J3Arm_Load,8)=3,"-",VLOOKUP(Anal_Robot_Code,J3Arm_Load,4))</f>
        <v>25</v>
      </c>
      <c r="D22" s="365">
        <f>Anal_Input_8</f>
        <v>24</v>
      </c>
      <c r="F22" s="785" t="s">
        <v>3958</v>
      </c>
      <c r="G22" s="379"/>
      <c r="H22" s="326">
        <f>'Wrist Load Analysis'!R22</f>
        <v>59</v>
      </c>
    </row>
    <row r="23" spans="1:8">
      <c r="B23" s="785" t="s">
        <v>3942</v>
      </c>
      <c r="C23" s="336">
        <f>VLOOKUP('Misc Data'!$B$26,Table1,6)</f>
        <v>1333</v>
      </c>
      <c r="D23" s="365">
        <f>'Wrist Load Analysis'!R7</f>
        <v>792.97116048581427</v>
      </c>
      <c r="F23" s="785" t="s">
        <v>3959</v>
      </c>
      <c r="G23" s="380"/>
      <c r="H23" s="442">
        <f>'Wrist Load Analysis'!R23</f>
        <v>59</v>
      </c>
    </row>
    <row r="24" spans="1:8" ht="13.5" thickBot="1">
      <c r="A24" s="264"/>
      <c r="B24" s="785" t="s">
        <v>3943</v>
      </c>
      <c r="C24" s="336">
        <f>VLOOKUP('Misc Data'!$B$26,Table1,7)</f>
        <v>1333</v>
      </c>
      <c r="D24" s="365">
        <f>'Wrist Load Analysis'!R8</f>
        <v>792.97116048581427</v>
      </c>
      <c r="E24" s="264"/>
      <c r="F24" s="786" t="s">
        <v>3960</v>
      </c>
      <c r="G24" s="381"/>
      <c r="H24" s="327">
        <f>IF(Axis_Count=1,"-",'Wrist Load Analysis'!R24)</f>
        <v>9</v>
      </c>
    </row>
    <row r="25" spans="1:8">
      <c r="A25" s="264"/>
      <c r="B25" s="785" t="s">
        <v>3944</v>
      </c>
      <c r="C25" s="336">
        <f>VLOOKUP('Misc Data'!$B$26,Table1,8)</f>
        <v>706</v>
      </c>
      <c r="D25" s="365">
        <f>IF(Axis_Count=1,"-",'Wrist Load Analysis'!R9)</f>
        <v>64.232575566655314</v>
      </c>
      <c r="E25" s="264"/>
      <c r="F25" s="791" t="s">
        <v>3961</v>
      </c>
      <c r="G25" s="172"/>
      <c r="H25" s="363"/>
    </row>
    <row r="26" spans="1:8">
      <c r="A26" s="264"/>
      <c r="B26" s="785" t="s">
        <v>3945</v>
      </c>
      <c r="C26" s="336">
        <f>VLOOKUP('Misc Data'!$B$26,Table1,9)</f>
        <v>141.1</v>
      </c>
      <c r="D26" s="365">
        <f>'Wrist Load Analysis'!R10</f>
        <v>69.582523667975622</v>
      </c>
      <c r="E26" s="264"/>
      <c r="F26" s="785" t="s">
        <v>3958</v>
      </c>
      <c r="G26" s="266"/>
      <c r="H26" s="326">
        <f>'Wrist Load Analysis'!R26</f>
        <v>49.4</v>
      </c>
    </row>
    <row r="27" spans="1:8">
      <c r="A27" s="264"/>
      <c r="B27" s="785" t="s">
        <v>3946</v>
      </c>
      <c r="C27" s="336">
        <f>VLOOKUP('Misc Data'!$B$26,Table1,10)</f>
        <v>141.1</v>
      </c>
      <c r="D27" s="365">
        <f>'Wrist Load Analysis'!R11</f>
        <v>69.539324451501699</v>
      </c>
      <c r="E27" s="264"/>
      <c r="F27" s="785" t="s">
        <v>3959</v>
      </c>
      <c r="G27" s="267"/>
      <c r="H27" s="326">
        <f>'Wrist Load Analysis'!R27</f>
        <v>49.300000000000004</v>
      </c>
    </row>
    <row r="28" spans="1:8" ht="13.5" thickBot="1">
      <c r="A28" s="264"/>
      <c r="B28" s="786" t="s">
        <v>3947</v>
      </c>
      <c r="C28" s="544">
        <f>VLOOKUP('Misc Data'!$B$26,Table1,11)</f>
        <v>78.400000000000006</v>
      </c>
      <c r="D28" s="545">
        <f>IF(Axis_Count=1,"-",'Wrist Load Analysis'!R12)</f>
        <v>3.3325658866850958</v>
      </c>
      <c r="E28" s="264"/>
      <c r="F28" s="786" t="s">
        <v>3960</v>
      </c>
      <c r="G28" s="268"/>
      <c r="H28" s="327">
        <f>IF(Axis_Count=1,"-",'Wrist Load Analysis'!R28)</f>
        <v>4.3</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3" t="str">
        <f>'Robot Analysis'!F3</f>
        <v>REFERENCE DATA</v>
      </c>
      <c r="C3" s="984"/>
      <c r="D3" s="984"/>
      <c r="E3" s="984"/>
      <c r="F3" s="984"/>
      <c r="G3" s="984"/>
      <c r="H3" s="984"/>
      <c r="I3" s="985"/>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6" t="str">
        <f>'Robot Analysis'!B4</f>
        <v>Robot Type</v>
      </c>
      <c r="D5" s="987"/>
      <c r="E5" s="987"/>
      <c r="F5" s="987"/>
      <c r="G5" s="988" t="str">
        <f>'Robot Analysis'!C4</f>
        <v>R-2000iB/210F</v>
      </c>
      <c r="H5" s="988"/>
      <c r="I5" s="989"/>
      <c r="J5" s="3"/>
      <c r="K5" s="3"/>
      <c r="L5" s="3"/>
      <c r="M5" s="3"/>
      <c r="N5" s="3"/>
      <c r="O5" s="3"/>
      <c r="P5" s="3"/>
      <c r="Q5" s="3"/>
      <c r="R5" s="3"/>
      <c r="S5" s="3"/>
    </row>
    <row r="6" spans="1:19" ht="13.5" customHeight="1">
      <c r="A6" s="3"/>
      <c r="B6" s="186"/>
      <c r="C6" s="981" t="str">
        <f>'Robot Analysis'!F4</f>
        <v>Robot E#</v>
      </c>
      <c r="D6" s="982"/>
      <c r="E6" s="982"/>
      <c r="F6" s="982"/>
      <c r="G6" s="977" t="str">
        <f>'Robot Analysis'!G4</f>
        <v>F174743</v>
      </c>
      <c r="H6" s="977"/>
      <c r="I6" s="978"/>
      <c r="J6" s="3"/>
      <c r="K6" s="3"/>
      <c r="L6" s="3"/>
      <c r="M6" s="3"/>
      <c r="N6" s="3"/>
      <c r="O6" s="3"/>
      <c r="P6" s="3"/>
      <c r="Q6" s="3"/>
      <c r="R6" s="3"/>
      <c r="S6" s="3"/>
    </row>
    <row r="7" spans="1:19" ht="13.5" customHeight="1">
      <c r="A7" s="3"/>
      <c r="B7" s="186"/>
      <c r="C7" s="981" t="str">
        <f>'Robot Analysis'!F5</f>
        <v>Tool #</v>
      </c>
      <c r="D7" s="982"/>
      <c r="E7" s="982"/>
      <c r="F7" s="982"/>
      <c r="G7" s="977" t="str">
        <f>'Robot Analysis'!G5</f>
        <v>KJLTVR411600R01</v>
      </c>
      <c r="H7" s="977"/>
      <c r="I7" s="978"/>
      <c r="J7" s="3"/>
      <c r="K7" s="3"/>
      <c r="L7" s="3"/>
      <c r="M7" s="3"/>
      <c r="N7" s="3"/>
      <c r="O7" s="3"/>
      <c r="P7" s="3"/>
      <c r="Q7" s="3"/>
      <c r="R7" s="3"/>
      <c r="S7" s="3"/>
    </row>
    <row r="8" spans="1:19" ht="13.5" customHeight="1">
      <c r="A8" s="3"/>
      <c r="B8" s="186"/>
      <c r="C8" s="981" t="str">
        <f>'Robot Analysis'!F6</f>
        <v>Robot Station #</v>
      </c>
      <c r="D8" s="982"/>
      <c r="E8" s="982"/>
      <c r="F8" s="982"/>
      <c r="G8" s="977" t="str">
        <f>'Robot Analysis'!G6</f>
        <v>LTVR4</v>
      </c>
      <c r="H8" s="977"/>
      <c r="I8" s="978"/>
      <c r="J8" s="3"/>
      <c r="K8" s="3"/>
      <c r="L8" s="3"/>
      <c r="M8" s="3"/>
      <c r="N8" s="3"/>
      <c r="O8" s="3"/>
      <c r="P8" s="3"/>
      <c r="Q8" s="3"/>
      <c r="R8" s="3"/>
      <c r="S8" s="3"/>
    </row>
    <row r="9" spans="1:19" ht="13.5" customHeight="1">
      <c r="A9" s="3"/>
      <c r="B9" s="186"/>
      <c r="C9" s="981" t="str">
        <f>'Robot Analysis'!F7</f>
        <v>Engineer</v>
      </c>
      <c r="D9" s="982"/>
      <c r="E9" s="982"/>
      <c r="F9" s="982"/>
      <c r="G9" s="977" t="str">
        <f>'Robot Analysis'!G7</f>
        <v>FFT/AUROM</v>
      </c>
      <c r="H9" s="977"/>
      <c r="I9" s="978"/>
      <c r="J9" s="202"/>
      <c r="K9" s="269"/>
      <c r="L9" s="269"/>
      <c r="M9" s="269"/>
      <c r="N9" s="264"/>
      <c r="O9" s="264"/>
      <c r="P9" s="264"/>
      <c r="Q9" s="264"/>
      <c r="R9" s="264"/>
      <c r="S9" s="264"/>
    </row>
    <row r="10" spans="1:19" ht="13.5" customHeight="1" thickBot="1">
      <c r="A10" s="264"/>
      <c r="B10" s="290"/>
      <c r="C10" s="975" t="str">
        <f>'Robot Analysis'!F8</f>
        <v>Comment</v>
      </c>
      <c r="D10" s="976"/>
      <c r="E10" s="976"/>
      <c r="F10" s="976"/>
      <c r="G10" s="979" t="str">
        <f>'Robot Analysis'!G8</f>
        <v>EZ1</v>
      </c>
      <c r="H10" s="979"/>
      <c r="I10" s="980"/>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141.1</v>
      </c>
      <c r="G9" s="355"/>
      <c r="H9" s="345"/>
      <c r="I9" s="345"/>
    </row>
    <row r="10" spans="1:12" ht="13.5">
      <c r="A10" s="345"/>
      <c r="B10" s="353"/>
      <c r="C10" s="356">
        <v>3</v>
      </c>
      <c r="D10" s="354" t="s">
        <v>3756</v>
      </c>
      <c r="E10" s="354" t="str">
        <f>IF($E$22=TRUE,"[m]","[cm]")</f>
        <v>[cm]</v>
      </c>
      <c r="F10" s="357">
        <f>IF(Load_Set_2=FALSE,"-",IF($E$22=TRUE,Load_Set_2/100,Load_Set_2))</f>
        <v>2.1909999999999998</v>
      </c>
      <c r="G10" s="355"/>
      <c r="H10" s="345"/>
      <c r="I10" s="345"/>
    </row>
    <row r="11" spans="1:12" ht="13.5">
      <c r="A11" s="345"/>
      <c r="B11" s="353"/>
      <c r="C11" s="356">
        <v>4</v>
      </c>
      <c r="D11" s="354" t="s">
        <v>3011</v>
      </c>
      <c r="E11" s="354" t="str">
        <f>IF($E$22=TRUE,"[m]","[cm]")</f>
        <v>[cm]</v>
      </c>
      <c r="F11" s="357">
        <f>IF(Load_Set_3=FALSE,"-",IF($E$22=TRUE,Load_Set_3/100,Load_Set_3))</f>
        <v>4.0960000000000001</v>
      </c>
      <c r="G11" s="355"/>
      <c r="H11" s="345"/>
      <c r="I11" s="345"/>
    </row>
    <row r="12" spans="1:12" ht="13.5">
      <c r="A12" s="345"/>
      <c r="B12" s="447"/>
      <c r="C12" s="356">
        <v>5</v>
      </c>
      <c r="D12" s="354" t="s">
        <v>350</v>
      </c>
      <c r="E12" s="354" t="str">
        <f>IF($E$22=TRUE,"[m]","[cm]")</f>
        <v>[cm]</v>
      </c>
      <c r="F12" s="357">
        <f>IF(Load_Set_4=FALSE,"-",IF($E$22=TRUE,Load_Set_4/100,Load_Set_4))</f>
        <v>33.658000000000001</v>
      </c>
      <c r="G12" s="355"/>
      <c r="H12" s="345"/>
      <c r="I12" s="345"/>
    </row>
    <row r="13" spans="1:12" ht="13.5">
      <c r="A13" s="345"/>
      <c r="B13" s="353"/>
      <c r="C13" s="356">
        <v>6</v>
      </c>
      <c r="D13" s="354" t="s">
        <v>1116</v>
      </c>
      <c r="E13" s="354" t="str">
        <f>IF($E$22=TRUE,"[kgm^2]","[kgfcms^2]")</f>
        <v>[kgfcms^2]</v>
      </c>
      <c r="F13" s="357">
        <f>IF(Load_Set_5=FALSE,"-",IF($E$22=TRUE,Load_Set_5*0.098,Load_Set_5))</f>
        <v>236.74299999999999</v>
      </c>
      <c r="G13" s="355"/>
      <c r="H13" s="345"/>
      <c r="I13" s="345"/>
    </row>
    <row r="14" spans="1:12" ht="13.5">
      <c r="A14" s="345"/>
      <c r="B14" s="353"/>
      <c r="C14" s="356">
        <v>7</v>
      </c>
      <c r="D14" s="354" t="s">
        <v>1847</v>
      </c>
      <c r="E14" s="354" t="str">
        <f>IF($E$22=TRUE,"[kgm^2]","[kgfcms^2]")</f>
        <v>[kgfcms^2]</v>
      </c>
      <c r="F14" s="357">
        <f>IF(Load_Set_6=FALSE,"-",IF($E$22=TRUE,Load_Set_6*0.098,Load_Set_6))</f>
        <v>200.952</v>
      </c>
      <c r="G14" s="355"/>
      <c r="H14" s="345"/>
      <c r="I14" s="345"/>
    </row>
    <row r="15" spans="1:12" ht="13.5">
      <c r="A15" s="345"/>
      <c r="B15" s="353"/>
      <c r="C15" s="356">
        <v>8</v>
      </c>
      <c r="D15" s="354" t="s">
        <v>3012</v>
      </c>
      <c r="E15" s="354" t="str">
        <f>IF($E$22=TRUE,"[kgm^2]","[kgfcms^2]")</f>
        <v>[kgfcms^2]</v>
      </c>
      <c r="F15" s="357">
        <f>IF(Load_Set_7=FALSE,"-",IF($E$22=TRUE,Load_Set_7*0.098,Load_Set_7))</f>
        <v>30.899000000000001</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0" t="s">
        <v>3309</v>
      </c>
      <c r="X7" s="991"/>
      <c r="Y7" s="991"/>
      <c r="Z7" s="991"/>
      <c r="AA7" s="991"/>
      <c r="AB7" s="991"/>
      <c r="AC7" s="992"/>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3" t="s">
        <v>3646</v>
      </c>
      <c r="AI8" s="994"/>
      <c r="AJ8" s="994"/>
      <c r="AK8" s="994"/>
      <c r="AL8" s="994"/>
      <c r="AM8" s="994"/>
      <c r="AN8" s="994"/>
      <c r="AO8" s="994"/>
      <c r="AP8" s="994"/>
      <c r="AQ8" s="994"/>
      <c r="AR8" s="994"/>
      <c r="AS8" s="995"/>
      <c r="AT8" s="993" t="s">
        <v>3647</v>
      </c>
      <c r="AU8" s="994"/>
      <c r="AV8" s="994"/>
      <c r="AW8" s="994"/>
      <c r="AX8" s="994"/>
      <c r="AY8" s="994"/>
      <c r="AZ8" s="994"/>
      <c r="BA8" s="994"/>
      <c r="BB8" s="994"/>
      <c r="BC8" s="994"/>
      <c r="BD8" s="994"/>
      <c r="BE8" s="995"/>
      <c r="BF8" s="993" t="s">
        <v>3648</v>
      </c>
      <c r="BG8" s="994"/>
      <c r="BH8" s="994"/>
      <c r="BI8" s="994"/>
      <c r="BJ8" s="994"/>
      <c r="BK8" s="994"/>
      <c r="BL8" s="994"/>
      <c r="BM8" s="994"/>
      <c r="BN8" s="994"/>
      <c r="BO8" s="994"/>
      <c r="BP8" s="994"/>
      <c r="BQ8" s="995"/>
      <c r="BR8" s="993" t="s">
        <v>3370</v>
      </c>
      <c r="BS8" s="994"/>
      <c r="BT8" s="994"/>
      <c r="BU8" s="994"/>
      <c r="BV8" s="994"/>
      <c r="BW8" s="994"/>
      <c r="BX8" s="994"/>
      <c r="BY8" s="994"/>
      <c r="BZ8" s="994"/>
      <c r="CA8" s="994"/>
      <c r="CB8" s="994"/>
      <c r="CC8" s="995"/>
      <c r="CD8" s="993" t="s">
        <v>3371</v>
      </c>
      <c r="CE8" s="994"/>
      <c r="CF8" s="994"/>
      <c r="CG8" s="994"/>
      <c r="CH8" s="994"/>
      <c r="CI8" s="994"/>
      <c r="CJ8" s="994"/>
      <c r="CK8" s="994"/>
      <c r="CL8" s="994"/>
      <c r="CM8" s="994"/>
      <c r="CN8" s="994"/>
      <c r="CO8" s="995"/>
      <c r="CP8" s="993" t="s">
        <v>3372</v>
      </c>
      <c r="CQ8" s="994"/>
      <c r="CR8" s="994"/>
      <c r="CS8" s="994"/>
      <c r="CT8" s="994"/>
      <c r="CU8" s="994"/>
      <c r="CV8" s="994"/>
      <c r="CW8" s="994"/>
      <c r="CX8" s="994"/>
      <c r="CY8" s="994"/>
      <c r="CZ8" s="994"/>
      <c r="DA8" s="995"/>
      <c r="DB8" s="993" t="s">
        <v>3373</v>
      </c>
      <c r="DC8" s="994"/>
      <c r="DD8" s="994"/>
      <c r="DE8" s="994"/>
      <c r="DF8" s="994"/>
      <c r="DG8" s="994"/>
      <c r="DH8" s="994"/>
      <c r="DI8" s="994"/>
      <c r="DJ8" s="994"/>
      <c r="DK8" s="994"/>
      <c r="DL8" s="994"/>
      <c r="DM8" s="995"/>
      <c r="DN8" s="993" t="s">
        <v>3374</v>
      </c>
      <c r="DO8" s="994"/>
      <c r="DP8" s="994"/>
      <c r="DQ8" s="994"/>
      <c r="DR8" s="994"/>
      <c r="DS8" s="994"/>
      <c r="DT8" s="994"/>
      <c r="DU8" s="994"/>
      <c r="DV8" s="994"/>
      <c r="DW8" s="994"/>
      <c r="DX8" s="994"/>
      <c r="DY8" s="995"/>
      <c r="DZ8" s="993" t="s">
        <v>3375</v>
      </c>
      <c r="EA8" s="994"/>
      <c r="EB8" s="994"/>
      <c r="EC8" s="994"/>
      <c r="ED8" s="994"/>
      <c r="EE8" s="994"/>
      <c r="EF8" s="994"/>
      <c r="EG8" s="994"/>
      <c r="EH8" s="994"/>
      <c r="EI8" s="994"/>
      <c r="EJ8" s="994"/>
      <c r="EK8" s="995"/>
      <c r="EL8" s="993" t="s">
        <v>3376</v>
      </c>
      <c r="EM8" s="994"/>
      <c r="EN8" s="994"/>
      <c r="EO8" s="994"/>
      <c r="EP8" s="994"/>
      <c r="EQ8" s="994"/>
      <c r="ER8" s="994"/>
      <c r="ES8" s="994"/>
      <c r="ET8" s="994"/>
      <c r="EU8" s="994"/>
      <c r="EV8" s="994"/>
      <c r="EW8" s="995"/>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141.1</v>
      </c>
      <c r="H6" s="625" t="s">
        <v>2962</v>
      </c>
      <c r="I6" s="551">
        <f>IF((Anal_Payload_Code=1),Anal_Input_1,IF((Anal_Payload_Code=2),Anal_Input_1,0))</f>
        <v>141.1</v>
      </c>
      <c r="J6" s="551">
        <f>IF((Anal_Payload_Code=1),Anal_Input_1,IF((Anal_Payload_Code=2),Anal_Input_1,0))</f>
        <v>141.1</v>
      </c>
      <c r="K6" s="551">
        <f>IF((Anal_Payload_Code=1),Anal_Input_1,IF((Anal_Payload_Code=2),Anal_Input_1,0))</f>
        <v>141.1</v>
      </c>
      <c r="L6" s="7"/>
    </row>
    <row r="7" spans="2:18">
      <c r="B7" s="8" t="s">
        <v>2963</v>
      </c>
      <c r="C7" s="626">
        <f t="shared" ref="C7:C12" si="0">IF(Anal_Robot_Code=10105,J7,IF(Anal_Robot_Code=10112,J7,IF(Anal_Robot_Code=10111,K7,I7)))</f>
        <v>2.1911969999999999E-2</v>
      </c>
      <c r="D7" s="290"/>
      <c r="E7" s="290"/>
      <c r="H7" s="8" t="s">
        <v>2963</v>
      </c>
      <c r="I7" s="551">
        <f>IF((Anal_Payload_Code=1),Anal_Input_2,IF((Anal_Payload_Code=2),Anal_Input_2*0.01,0))</f>
        <v>2.1911969999999999E-2</v>
      </c>
      <c r="J7" s="552">
        <f>(0.007+L9)*SIN(RADIANS(30))+L7*COS(RADIANS(30))</f>
        <v>0.19076487266696249</v>
      </c>
      <c r="K7" s="552">
        <f>(0.01+L9)*SIN(RADIANS(30))+L7*COS(RADIANS(30))</f>
        <v>0.19226487266696249</v>
      </c>
      <c r="L7" s="439">
        <f>IF((Anal_Payload_Code=1),Anal_Input_2,IF((Anal_Payload_Code=2),Anal_Input_2*0.01,0))</f>
        <v>2.1911969999999999E-2</v>
      </c>
    </row>
    <row r="8" spans="2:18">
      <c r="B8" s="8" t="s">
        <v>2964</v>
      </c>
      <c r="C8" s="626">
        <f t="shared" si="0"/>
        <v>4.0958910000000001E-2</v>
      </c>
      <c r="D8" s="290"/>
      <c r="E8" s="290"/>
      <c r="H8" s="8" t="s">
        <v>2964</v>
      </c>
      <c r="I8" s="551">
        <f>IF((Anal_Payload_Code=1),Anal_Input_3,IF((Anal_Payload_Code=2),Anal_Input_3*0.01,0))</f>
        <v>4.0958910000000001E-2</v>
      </c>
      <c r="J8" s="551">
        <f>IF((Anal_Payload_Code=1),Anal_Input_3,IF((Anal_Payload_Code=2),Anal_Input_3*0.01,0))</f>
        <v>4.0958910000000001E-2</v>
      </c>
      <c r="K8" s="551">
        <f>IF((Anal_Payload_Code=1),Anal_Input_3,IF((Anal_Payload_Code=2),Anal_Input_3*0.01,0))</f>
        <v>4.0958910000000001E-2</v>
      </c>
      <c r="L8" s="7"/>
    </row>
    <row r="9" spans="2:18">
      <c r="B9" s="8" t="s">
        <v>840</v>
      </c>
      <c r="C9" s="626">
        <f t="shared" si="0"/>
        <v>0.33657710000000002</v>
      </c>
      <c r="D9" s="290"/>
      <c r="E9" s="290"/>
      <c r="H9" s="8" t="s">
        <v>840</v>
      </c>
      <c r="I9" s="551">
        <f>IF((Anal_Payload_Code=1),Anal_Input_4,IF((Anal_Payload_Code=2),Anal_Input_4*0.01,0))</f>
        <v>0.33657710000000002</v>
      </c>
      <c r="J9" s="552">
        <f>(0.007+L9)*COS(RADIANS(30))-L7*SIN(RADIANS(30))</f>
        <v>0.28659051175858652</v>
      </c>
      <c r="K9" s="552">
        <f>(0.01+L9)*COS(RADIANS(30))-L7*SIN(RADIANS(30))</f>
        <v>0.28918858796993979</v>
      </c>
      <c r="L9" s="439">
        <f>IF((Anal_Payload_Code=1),Anal_Input_4,IF((Anal_Payload_Code=2),Anal_Input_4*0.01,0))</f>
        <v>0.33657710000000002</v>
      </c>
    </row>
    <row r="10" spans="2:18">
      <c r="B10" s="8" t="s">
        <v>2965</v>
      </c>
      <c r="C10" s="626">
        <f t="shared" si="0"/>
        <v>23.20083</v>
      </c>
      <c r="D10" s="290"/>
      <c r="E10" s="290"/>
      <c r="H10" s="8" t="s">
        <v>2965</v>
      </c>
      <c r="I10" s="551">
        <f>IF((Anal_Payload_Code=1),Anal_Input_5,IF((Anal_Payload_Code=2),Anal_Input_5*0.098,0))</f>
        <v>23.20083</v>
      </c>
      <c r="J10" s="552">
        <f>L10*(COS(RADIANS(30)))^2+L12*(SIN(RADIANS(30)))^2</f>
        <v>18.15764875</v>
      </c>
      <c r="K10" s="552">
        <f>L10*(COS(RADIANS(30)))^2+L12*(SIN(RADIANS(30)))^2</f>
        <v>18.15764875</v>
      </c>
      <c r="L10" s="439">
        <f>IF((Anal_Payload_Code=1),Anal_Input_5,IF((Anal_Payload_Code=2),Anal_Input_5*0.098,0))</f>
        <v>23.20083</v>
      </c>
    </row>
    <row r="11" spans="2:18">
      <c r="B11" s="8" t="s">
        <v>2362</v>
      </c>
      <c r="C11" s="626">
        <f t="shared" si="0"/>
        <v>19.693269999999998</v>
      </c>
      <c r="D11" s="290"/>
      <c r="E11" s="290"/>
      <c r="H11" s="8" t="s">
        <v>2362</v>
      </c>
      <c r="I11" s="551">
        <f>IF((Anal_Payload_Code=1),Anal_Input_6,IF((Anal_Payload_Code=2),Anal_Input_6*0.098,0))</f>
        <v>19.693269999999998</v>
      </c>
      <c r="J11" s="551">
        <f>IF((Anal_Payload_Code=1),Anal_Input_6,IF((Anal_Payload_Code=2),Anal_Input_6*0.098,0))</f>
        <v>19.693269999999998</v>
      </c>
      <c r="K11" s="551">
        <f>IF((Anal_Payload_Code=1),Anal_Input_6,IF((Anal_Payload_Code=2),Anal_Input_6*0.098,0))</f>
        <v>19.693269999999998</v>
      </c>
      <c r="L11" s="7"/>
    </row>
    <row r="12" spans="2:18">
      <c r="B12" s="8" t="s">
        <v>2363</v>
      </c>
      <c r="C12" s="626">
        <f t="shared" si="0"/>
        <v>3.028105</v>
      </c>
      <c r="D12" s="290"/>
      <c r="E12" s="290"/>
      <c r="H12" s="8" t="s">
        <v>2363</v>
      </c>
      <c r="I12" s="551">
        <f>IF((Anal_Payload_Code=1),Anal_Input_7,IF((Anal_Payload_Code=2),Anal_Input_7*0.098,0))</f>
        <v>3.028105</v>
      </c>
      <c r="J12" s="552">
        <f>L12*(COS(RADIANS(30)))^2+L10*(SIN(RADIANS(30)))^2</f>
        <v>8.07128625</v>
      </c>
      <c r="K12" s="552">
        <f>L12*(COS(RADIANS(30)))^2+L10*(SIN(RADIANS(30)))^2</f>
        <v>8.07128625</v>
      </c>
      <c r="L12" s="439">
        <f>IF((Anal_Payload_Code=1),Anal_Input_7,IF((Anal_Payload_Code=2),Anal_Input_7*0.098,0))</f>
        <v>3.028105</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141.1</v>
      </c>
      <c r="Y18" s="634"/>
    </row>
    <row r="19" spans="2:27" s="625" customFormat="1" ht="15" thickBot="1">
      <c r="B19" s="635"/>
      <c r="C19" s="631" t="s">
        <v>1863</v>
      </c>
      <c r="D19" s="632" t="s">
        <v>1861</v>
      </c>
      <c r="E19" s="633">
        <f t="shared" ref="E19:E24" si="1">C7</f>
        <v>2.1911969999999999E-2</v>
      </c>
      <c r="Y19" s="634"/>
    </row>
    <row r="20" spans="2:27" s="625" customFormat="1" ht="15" thickBot="1">
      <c r="B20" s="636" t="s">
        <v>3276</v>
      </c>
      <c r="C20" s="631" t="s">
        <v>3277</v>
      </c>
      <c r="D20" s="632" t="s">
        <v>1861</v>
      </c>
      <c r="E20" s="633">
        <f t="shared" si="1"/>
        <v>4.0958910000000001E-2</v>
      </c>
      <c r="Y20" s="634"/>
    </row>
    <row r="21" spans="2:27" s="625" customFormat="1" ht="15" thickBot="1">
      <c r="B21" s="637"/>
      <c r="C21" s="631" t="s">
        <v>3278</v>
      </c>
      <c r="D21" s="632" t="s">
        <v>1861</v>
      </c>
      <c r="E21" s="633">
        <f t="shared" si="1"/>
        <v>0.33657710000000002</v>
      </c>
      <c r="Y21" s="634"/>
    </row>
    <row r="22" spans="2:27" s="625" customFormat="1" ht="15" thickBot="1">
      <c r="B22" s="638"/>
      <c r="C22" s="631" t="s">
        <v>3279</v>
      </c>
      <c r="D22" s="632" t="s">
        <v>3280</v>
      </c>
      <c r="E22" s="633">
        <f t="shared" si="1"/>
        <v>23.20083</v>
      </c>
      <c r="Y22" s="634"/>
      <c r="AA22" s="639"/>
    </row>
    <row r="23" spans="2:27" s="625" customFormat="1" ht="15" thickBot="1">
      <c r="B23" s="636" t="s">
        <v>3281</v>
      </c>
      <c r="C23" s="631" t="s">
        <v>3282</v>
      </c>
      <c r="D23" s="632" t="s">
        <v>3280</v>
      </c>
      <c r="E23" s="633">
        <f t="shared" si="1"/>
        <v>19.693269999999998</v>
      </c>
      <c r="Y23" s="634"/>
    </row>
    <row r="24" spans="2:27" s="625" customFormat="1" ht="15" thickBot="1">
      <c r="B24" s="640"/>
      <c r="C24" s="631" t="s">
        <v>3283</v>
      </c>
      <c r="D24" s="632" t="s">
        <v>3280</v>
      </c>
      <c r="E24" s="633">
        <f t="shared" si="1"/>
        <v>3.028105</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792.97116048581427</v>
      </c>
      <c r="F31" s="643">
        <f>SQRT((SQRT($E$19^2+$E$20^2)+SQRT(($E$27+$E$28*COS($P$31*PI()/180))^2+$E$28^2*SIN($P$31*PI()/180)^2))^2+($E$21+$E$26)^2)</f>
        <v>0.5734615488261432</v>
      </c>
      <c r="H31" s="646" t="s">
        <v>2365</v>
      </c>
      <c r="I31" s="646" t="s">
        <v>19</v>
      </c>
      <c r="N31" s="652" t="s">
        <v>20</v>
      </c>
      <c r="O31" s="641"/>
      <c r="P31" s="633">
        <v>90</v>
      </c>
    </row>
    <row r="32" spans="2:27" s="625" customFormat="1" ht="14.25">
      <c r="B32" s="650" t="s">
        <v>21</v>
      </c>
      <c r="C32" s="649" t="s">
        <v>1618</v>
      </c>
      <c r="D32" s="643" t="s">
        <v>22</v>
      </c>
      <c r="E32" s="651">
        <f>$E$18*9.8*F32</f>
        <v>792.97116048581427</v>
      </c>
      <c r="F32" s="643">
        <f>SQRT((SQRT($E$19^2+$E$20^2)+$E$28*SIN($P$31*PI()/180))^2+($E$21+$E$26)^2)</f>
        <v>0.5734615488261432</v>
      </c>
      <c r="H32" s="646" t="s">
        <v>2366</v>
      </c>
      <c r="I32" s="646" t="s">
        <v>2162</v>
      </c>
      <c r="N32" s="646" t="s">
        <v>2163</v>
      </c>
    </row>
    <row r="33" spans="1:28" s="625" customFormat="1">
      <c r="B33" s="653"/>
      <c r="C33" s="649" t="s">
        <v>270</v>
      </c>
      <c r="D33" s="643" t="s">
        <v>2164</v>
      </c>
      <c r="E33" s="651">
        <f>$E$18*9.8*F33</f>
        <v>64.232575566655314</v>
      </c>
      <c r="F33" s="643">
        <f>SQRT($E$19^2+$E$20^2)</f>
        <v>4.6451767863763808E-2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69.582523667975622</v>
      </c>
      <c r="F36" s="643">
        <f>$E$18*$F31^2+MAX($E$22:$E$24)</f>
        <v>69.602714680271347</v>
      </c>
      <c r="G36" s="654" t="s">
        <v>2181</v>
      </c>
      <c r="H36" s="655">
        <f>$J$43</f>
        <v>69.582107068099475</v>
      </c>
      <c r="I36" s="655">
        <f>$J$89</f>
        <v>69.582523667975622</v>
      </c>
      <c r="J36" s="643">
        <f>$N$89</f>
        <v>88.503005556119575</v>
      </c>
      <c r="K36" s="643">
        <f>$B$89</f>
        <v>0.62005874309649767</v>
      </c>
    </row>
    <row r="37" spans="1:28" s="625" customFormat="1" ht="14.25">
      <c r="B37" s="650" t="s">
        <v>2182</v>
      </c>
      <c r="C37" s="649" t="s">
        <v>1618</v>
      </c>
      <c r="D37" s="643" t="s">
        <v>2180</v>
      </c>
      <c r="E37" s="651">
        <f>MAX(H37:I37)</f>
        <v>69.539324451501699</v>
      </c>
      <c r="F37" s="643">
        <f>$E$18*$F32^2+MAX($E$22:$E$23)</f>
        <v>69.602714680271347</v>
      </c>
      <c r="G37" s="655">
        <f>IF(E28=0,SQRT((E18*E19^2-E18*E20^2-E22+E23)^2/4+(E18*E19*E20)^2)+(E18*E19^2+E18*E20^2+E22+E23)/2+E18*(E21+E26)^2,"---")</f>
        <v>69.539324451501685</v>
      </c>
      <c r="H37" s="655">
        <f>$K$44</f>
        <v>69.534967712299817</v>
      </c>
      <c r="I37" s="655">
        <f>$K$90</f>
        <v>69.539324451501699</v>
      </c>
      <c r="J37" s="654" t="s">
        <v>2181</v>
      </c>
      <c r="K37" s="654">
        <f>$B$90</f>
        <v>91.970407760032188</v>
      </c>
    </row>
    <row r="38" spans="1:28" s="625" customFormat="1">
      <c r="B38" s="653"/>
      <c r="C38" s="649" t="s">
        <v>270</v>
      </c>
      <c r="D38" s="643" t="s">
        <v>2180</v>
      </c>
      <c r="E38" s="651">
        <f>G38</f>
        <v>3.3325658866850958</v>
      </c>
      <c r="F38" s="643">
        <f>$E$18*$F33^2+$E$24</f>
        <v>3.3325658866850958</v>
      </c>
      <c r="G38" s="655">
        <f>$E$18*($E$19^2+$E$20^2)+$E$24</f>
        <v>3.3325658866850958</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69.582107068099475</v>
      </c>
    </row>
    <row r="44" spans="1:28" s="625" customFormat="1" ht="14.25">
      <c r="B44" s="629" t="s">
        <v>2905</v>
      </c>
      <c r="I44" s="658" t="s">
        <v>2906</v>
      </c>
      <c r="J44" s="643">
        <f>MAX(J46:J70)</f>
        <v>69.582107068099475</v>
      </c>
      <c r="K44" s="643">
        <f>MAX(K46:K70)</f>
        <v>69.534967712299817</v>
      </c>
      <c r="L44" s="659">
        <f>MAX(L46:L70)</f>
        <v>69.534967712299817</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2.1911969999999999E-2</v>
      </c>
      <c r="D46" s="643">
        <f t="shared" ref="D46:D70" si="3">$E$19*SIN(B46*PI()/180)+$E$20*COS(B46*PI()/180)</f>
        <v>4.0958910000000001E-2</v>
      </c>
      <c r="E46" s="643">
        <f t="shared" ref="E46:E70" si="4">$E$22*COS(B46*PI()/180)^2+$E$23*SIN(B46*PI()/180)^2</f>
        <v>23.20083</v>
      </c>
      <c r="F46" s="643">
        <f t="shared" ref="F46:F70" si="5">$E$22*SIN(B46*PI()/180)^2+$E$23*COS(B46*PI()/180)^2</f>
        <v>19.693269999999998</v>
      </c>
      <c r="G46" s="643">
        <f t="shared" ref="G46:G70" si="6">($E$18*(C46+$E$28)^2-$E$18*($E$21+$E$26)^2+$E$24-E46)/2</f>
        <v>-33.101200912807357</v>
      </c>
      <c r="H46" s="643">
        <f t="shared" ref="H46:H70" si="7">$E$18*(C46+$E$28)*($E$21+$E$26)</f>
        <v>1.7671900557988558</v>
      </c>
      <c r="I46" s="643">
        <f t="shared" ref="I46:I70" si="8">$E$18*((C46+$E$28)^2+($E$21+$E$26)^2)/2+$E$18*(D46+$E$27)^2+($E$24+E46)/2</f>
        <v>36.43376679949246</v>
      </c>
      <c r="J46" s="643">
        <f>SQRT(G46^2+H46^2)+I46</f>
        <v>69.582107068099475</v>
      </c>
      <c r="K46" s="643">
        <f t="shared" ref="K46:K70" si="9">$E$18*((C46+$E$28)^2+($E$21+$E$26)^2)+F46</f>
        <v>65.858440761557802</v>
      </c>
      <c r="L46" s="670">
        <f t="shared" ref="L46:L70" si="10">$E$18*((D46+$E$28)^2+($E$21+$E$26)^2)+E46</f>
        <v>69.534967712299817</v>
      </c>
      <c r="M46" s="671"/>
      <c r="N46" s="638">
        <f>O53*180/PI()-INT(O53*180/PI()/360)*360</f>
        <v>91.970407760032188</v>
      </c>
      <c r="O46" s="643">
        <f>INDEX($B46:$B72,MATCH(K44,K46:K70,0))</f>
        <v>90</v>
      </c>
      <c r="P46" s="643">
        <f>($E$18*$E$19^2-$E$18*$E$20^2+$E$23-$E$22)/2</f>
        <v>-1.8382634753710132</v>
      </c>
      <c r="Q46" s="643">
        <f>-$E$18*$E$19*$E$20</f>
        <v>-0.12663589644924597</v>
      </c>
      <c r="R46" s="672" t="s">
        <v>1320</v>
      </c>
      <c r="T46" s="673"/>
      <c r="U46" s="674" t="s">
        <v>1321</v>
      </c>
      <c r="V46" s="675"/>
      <c r="W46" s="675"/>
      <c r="X46" s="675"/>
      <c r="Y46" s="675"/>
      <c r="Z46" s="675"/>
      <c r="AA46" s="675"/>
      <c r="AB46" s="676"/>
    </row>
    <row r="47" spans="1:28" s="625" customFormat="1">
      <c r="A47" s="643">
        <f>A46+1</f>
        <v>1</v>
      </c>
      <c r="B47" s="643">
        <f>B46+15</f>
        <v>15</v>
      </c>
      <c r="C47" s="643">
        <f t="shared" si="2"/>
        <v>1.0564391753231189E-2</v>
      </c>
      <c r="D47" s="643">
        <f t="shared" si="3"/>
        <v>4.5234504137364663E-2</v>
      </c>
      <c r="E47" s="643">
        <f t="shared" si="4"/>
        <v>22.965868032649073</v>
      </c>
      <c r="F47" s="643">
        <f t="shared" si="5"/>
        <v>19.928231967350925</v>
      </c>
      <c r="G47" s="643">
        <f t="shared" si="6"/>
        <v>-33.009719583494352</v>
      </c>
      <c r="H47" s="643">
        <f t="shared" si="7"/>
        <v>0.85201321706234523</v>
      </c>
      <c r="I47" s="643">
        <f t="shared" si="8"/>
        <v>36.342285470179448</v>
      </c>
      <c r="J47" s="643">
        <f t="shared" ref="J47:J70" si="11">SQRT(G47^2+H47^2)+I47</f>
        <v>69.362998871058295</v>
      </c>
      <c r="K47" s="643">
        <f t="shared" si="9"/>
        <v>66.041403420183826</v>
      </c>
      <c r="L47" s="670">
        <f t="shared" si="10"/>
        <v>69.352005053673793</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-1.5031323330374907E-3</v>
      </c>
      <c r="D48" s="643">
        <f t="shared" si="3"/>
        <v>4.6427441571320477E-2</v>
      </c>
      <c r="E48" s="643">
        <f t="shared" si="4"/>
        <v>22.32394</v>
      </c>
      <c r="F48" s="643">
        <f t="shared" si="5"/>
        <v>20.570160000000001</v>
      </c>
      <c r="G48" s="643">
        <f t="shared" si="6"/>
        <v>-32.696469995642644</v>
      </c>
      <c r="H48" s="643">
        <f t="shared" si="7"/>
        <v>-0.12122691439854963</v>
      </c>
      <c r="I48" s="643">
        <f t="shared" si="8"/>
        <v>36.02903588232774</v>
      </c>
      <c r="J48" s="643">
        <f t="shared" si="11"/>
        <v>68.725730610399779</v>
      </c>
      <c r="K48" s="643">
        <f t="shared" si="9"/>
        <v>66.667902595887242</v>
      </c>
      <c r="L48" s="670">
        <f t="shared" si="10"/>
        <v>68.725505877970392</v>
      </c>
      <c r="M48" s="671"/>
      <c r="N48" s="643">
        <v>1</v>
      </c>
      <c r="O48" s="643">
        <f>O46*PI()/180</f>
        <v>1.5707963267948966</v>
      </c>
      <c r="P48" s="643">
        <f t="shared" ref="P48:P53" si="14">-2*$P$46*SIN(2*O48)+2*$Q$46*COS(2*O48)+2*$E$18*$E$28*(-$E$19*SIN(O48)-$E$20*COS(O48))</f>
        <v>0.25327179289849239</v>
      </c>
      <c r="Q48" s="643">
        <f t="shared" ref="Q48:Q53" si="15">-4*$P$46*COS(2*O48)-4*$Q$46*SIN(2*O48)+2*$E$18*$E$28*(-$E$19*COS(O48)+$E$20*SIN(O48))</f>
        <v>-7.3530539014840528</v>
      </c>
      <c r="R48" s="643">
        <f t="shared" ref="R48:R53" si="16">IF(Q48=0,O48,O48-P48/Q48)</f>
        <v>1.6052407625751612</v>
      </c>
      <c r="T48" s="673"/>
      <c r="U48" s="674" t="s">
        <v>2383</v>
      </c>
      <c r="V48" s="675"/>
      <c r="W48" s="675"/>
      <c r="X48" s="675"/>
      <c r="Y48" s="675"/>
      <c r="Z48" s="675"/>
      <c r="AA48" s="675"/>
      <c r="AB48" s="676"/>
    </row>
    <row r="49" spans="1:28" s="625" customFormat="1">
      <c r="A49" s="643">
        <f t="shared" si="12"/>
        <v>3</v>
      </c>
      <c r="B49" s="643">
        <f t="shared" si="13"/>
        <v>45</v>
      </c>
      <c r="C49" s="643">
        <f t="shared" si="2"/>
        <v>-1.3468220434853295E-2</v>
      </c>
      <c r="D49" s="643">
        <f t="shared" si="3"/>
        <v>4.4456425587165685E-2</v>
      </c>
      <c r="E49" s="643">
        <f t="shared" si="4"/>
        <v>21.447049999999997</v>
      </c>
      <c r="F49" s="643">
        <f t="shared" si="5"/>
        <v>21.447049999999997</v>
      </c>
      <c r="G49" s="643">
        <f t="shared" si="6"/>
        <v>-32.245387123346475</v>
      </c>
      <c r="H49" s="643">
        <f t="shared" si="7"/>
        <v>-1.0862056319801316</v>
      </c>
      <c r="I49" s="643">
        <f t="shared" si="8"/>
        <v>35.577953010031571</v>
      </c>
      <c r="J49" s="643">
        <f t="shared" si="11"/>
        <v>67.841629697746868</v>
      </c>
      <c r="K49" s="643">
        <f t="shared" si="9"/>
        <v>67.570068340479565</v>
      </c>
      <c r="L49" s="670">
        <f t="shared" si="10"/>
        <v>67.823340133378053</v>
      </c>
      <c r="M49" s="671"/>
      <c r="N49" s="643">
        <f>N48+1</f>
        <v>2</v>
      </c>
      <c r="O49" s="643">
        <f>R48</f>
        <v>1.6052407625751612</v>
      </c>
      <c r="P49" s="643">
        <f t="shared" si="14"/>
        <v>-4.0045857308390609E-4</v>
      </c>
      <c r="Q49" s="643">
        <f t="shared" si="15"/>
        <v>-7.3704808147754957</v>
      </c>
      <c r="R49" s="643">
        <f t="shared" si="16"/>
        <v>1.6051864298140908</v>
      </c>
      <c r="T49" s="673"/>
      <c r="U49" s="674" t="s">
        <v>2384</v>
      </c>
      <c r="V49" s="675"/>
      <c r="W49" s="675"/>
      <c r="X49" s="675" t="s">
        <v>2385</v>
      </c>
      <c r="Y49" s="675"/>
      <c r="Z49" s="675"/>
      <c r="AA49" s="675"/>
      <c r="AB49" s="676"/>
    </row>
    <row r="50" spans="1:28" s="625" customFormat="1">
      <c r="A50" s="643">
        <f t="shared" si="12"/>
        <v>4</v>
      </c>
      <c r="B50" s="643">
        <f t="shared" si="13"/>
        <v>60</v>
      </c>
      <c r="C50" s="643">
        <f t="shared" si="2"/>
        <v>-2.4515471571320481E-2</v>
      </c>
      <c r="D50" s="643">
        <f t="shared" si="3"/>
        <v>3.945577766696251E-2</v>
      </c>
      <c r="E50" s="643">
        <f t="shared" si="4"/>
        <v>20.570160000000001</v>
      </c>
      <c r="F50" s="643">
        <f t="shared" si="5"/>
        <v>22.32394</v>
      </c>
      <c r="G50" s="643">
        <f t="shared" si="6"/>
        <v>-31.777338257957133</v>
      </c>
      <c r="H50" s="643">
        <f t="shared" si="7"/>
        <v>-1.9771612307819473</v>
      </c>
      <c r="I50" s="643">
        <f t="shared" si="8"/>
        <v>35.109904144642236</v>
      </c>
      <c r="J50" s="643">
        <f t="shared" si="11"/>
        <v>66.948691704678708</v>
      </c>
      <c r="K50" s="643">
        <f t="shared" si="9"/>
        <v>68.506166071258264</v>
      </c>
      <c r="L50" s="670">
        <f t="shared" si="10"/>
        <v>66.887242402599355</v>
      </c>
      <c r="M50" s="671"/>
      <c r="N50" s="643">
        <f>N49+1</f>
        <v>3</v>
      </c>
      <c r="O50" s="643">
        <f>R49</f>
        <v>1.6051864298140908</v>
      </c>
      <c r="P50" s="643">
        <f t="shared" si="14"/>
        <v>1.5760726057578722E-12</v>
      </c>
      <c r="Q50" s="643">
        <f t="shared" si="15"/>
        <v>-7.3704808582915344</v>
      </c>
      <c r="R50" s="643">
        <f t="shared" si="16"/>
        <v>1.6051864298143046</v>
      </c>
      <c r="T50" s="673"/>
      <c r="U50" s="674" t="s">
        <v>2386</v>
      </c>
      <c r="V50" s="675"/>
      <c r="W50" s="675"/>
      <c r="X50" s="675"/>
      <c r="Y50" s="675"/>
      <c r="Z50" s="675" t="s">
        <v>2387</v>
      </c>
      <c r="AA50" s="675"/>
      <c r="AB50" s="676"/>
    </row>
    <row r="51" spans="1:28" s="625" customFormat="1">
      <c r="A51" s="643">
        <f t="shared" si="12"/>
        <v>5</v>
      </c>
      <c r="B51" s="643">
        <f t="shared" si="13"/>
        <v>75</v>
      </c>
      <c r="C51" s="643">
        <f t="shared" si="2"/>
        <v>-3.38920338339345E-2</v>
      </c>
      <c r="D51" s="643">
        <f t="shared" si="3"/>
        <v>3.1766283702511361E-2</v>
      </c>
      <c r="E51" s="643">
        <f t="shared" si="4"/>
        <v>19.928231967350925</v>
      </c>
      <c r="F51" s="643">
        <f t="shared" si="5"/>
        <v>22.965868032649073</v>
      </c>
      <c r="G51" s="643">
        <f t="shared" si="6"/>
        <v>-31.417736714973984</v>
      </c>
      <c r="H51" s="643">
        <f t="shared" si="7"/>
        <v>-2.7333765591193955</v>
      </c>
      <c r="I51" s="643">
        <f t="shared" si="8"/>
        <v>34.750302601659079</v>
      </c>
      <c r="J51" s="643">
        <f t="shared" si="11"/>
        <v>66.286718499876926</v>
      </c>
      <c r="K51" s="643">
        <f t="shared" si="9"/>
        <v>69.225369157224549</v>
      </c>
      <c r="L51" s="670">
        <f t="shared" si="10"/>
        <v>66.16803931663307</v>
      </c>
      <c r="M51" s="671"/>
      <c r="N51" s="643">
        <f>N50+1</f>
        <v>4</v>
      </c>
      <c r="O51" s="643">
        <f>R50</f>
        <v>1.6051864298143046</v>
      </c>
      <c r="P51" s="643">
        <f t="shared" si="14"/>
        <v>5.5511151231257827E-17</v>
      </c>
      <c r="Q51" s="643">
        <f t="shared" si="15"/>
        <v>-7.3704808582915353</v>
      </c>
      <c r="R51" s="643">
        <f t="shared" si="16"/>
        <v>1.6051864298143046</v>
      </c>
      <c r="T51" s="679"/>
      <c r="U51" s="680" t="s">
        <v>2388</v>
      </c>
      <c r="V51" s="681"/>
      <c r="W51" s="681"/>
      <c r="X51" s="681"/>
      <c r="Y51" s="681"/>
      <c r="Z51" s="681"/>
      <c r="AA51" s="681"/>
      <c r="AB51" s="682"/>
    </row>
    <row r="52" spans="1:28" s="625" customFormat="1">
      <c r="A52" s="643">
        <f t="shared" si="12"/>
        <v>6</v>
      </c>
      <c r="B52" s="643">
        <f t="shared" si="13"/>
        <v>90</v>
      </c>
      <c r="C52" s="643">
        <f t="shared" si="2"/>
        <v>-4.0958910000000001E-2</v>
      </c>
      <c r="D52" s="643">
        <f t="shared" si="3"/>
        <v>2.1911970000000003E-2</v>
      </c>
      <c r="E52" s="643">
        <f t="shared" si="4"/>
        <v>19.693269999999998</v>
      </c>
      <c r="F52" s="643">
        <f t="shared" si="5"/>
        <v>23.20083</v>
      </c>
      <c r="G52" s="643">
        <f t="shared" si="6"/>
        <v>-31.262937437436349</v>
      </c>
      <c r="H52" s="643">
        <f t="shared" si="7"/>
        <v>-3.3033167920711977</v>
      </c>
      <c r="I52" s="643">
        <f t="shared" si="8"/>
        <v>34.595503324121445</v>
      </c>
      <c r="J52" s="643">
        <f t="shared" si="11"/>
        <v>66.032474537103127</v>
      </c>
      <c r="K52" s="643">
        <f t="shared" si="9"/>
        <v>69.534967712299817</v>
      </c>
      <c r="L52" s="670">
        <f t="shared" si="10"/>
        <v>65.858440761557802</v>
      </c>
      <c r="M52" s="671"/>
      <c r="N52" s="643">
        <f>N51+1</f>
        <v>5</v>
      </c>
      <c r="O52" s="643">
        <f>R51</f>
        <v>1.6051864298143046</v>
      </c>
      <c r="P52" s="643">
        <f t="shared" si="14"/>
        <v>5.5511151231257827E-17</v>
      </c>
      <c r="Q52" s="643">
        <f t="shared" si="15"/>
        <v>-7.3704808582915353</v>
      </c>
      <c r="R52" s="643">
        <f t="shared" si="16"/>
        <v>1.6051864298143046</v>
      </c>
      <c r="T52" s="666" t="s">
        <v>2055</v>
      </c>
      <c r="U52" s="667" t="s">
        <v>2056</v>
      </c>
      <c r="V52" s="668"/>
      <c r="W52" s="668"/>
      <c r="X52" s="668"/>
      <c r="Y52" s="668"/>
      <c r="Z52" s="668"/>
      <c r="AA52" s="668"/>
      <c r="AB52" s="669"/>
    </row>
    <row r="53" spans="1:28" s="625" customFormat="1">
      <c r="A53" s="643">
        <f t="shared" si="12"/>
        <v>7</v>
      </c>
      <c r="B53" s="643">
        <f t="shared" si="13"/>
        <v>105</v>
      </c>
      <c r="C53" s="643">
        <f t="shared" si="2"/>
        <v>-4.5234504137364663E-2</v>
      </c>
      <c r="D53" s="643">
        <f t="shared" si="3"/>
        <v>1.0564391753231183E-2</v>
      </c>
      <c r="E53" s="643">
        <f t="shared" si="4"/>
        <v>19.928231967350928</v>
      </c>
      <c r="F53" s="643">
        <f t="shared" si="5"/>
        <v>22.965868032649073</v>
      </c>
      <c r="G53" s="643">
        <f t="shared" si="6"/>
        <v>-31.354418766749362</v>
      </c>
      <c r="H53" s="643">
        <f t="shared" si="7"/>
        <v>-3.648141444632456</v>
      </c>
      <c r="I53" s="643">
        <f t="shared" si="8"/>
        <v>34.686984653434457</v>
      </c>
      <c r="J53" s="643">
        <f t="shared" si="11"/>
        <v>66.25292376825773</v>
      </c>
      <c r="K53" s="643">
        <f t="shared" si="9"/>
        <v>69.352005053673793</v>
      </c>
      <c r="L53" s="670">
        <f t="shared" si="10"/>
        <v>66.041403420183826</v>
      </c>
      <c r="M53" s="671"/>
      <c r="N53" s="643">
        <f>N52+1</f>
        <v>6</v>
      </c>
      <c r="O53" s="643">
        <f>R52</f>
        <v>1.6051864298143046</v>
      </c>
      <c r="P53" s="643">
        <f t="shared" si="14"/>
        <v>5.5511151231257827E-17</v>
      </c>
      <c r="Q53" s="643">
        <f t="shared" si="15"/>
        <v>-7.3704808582915353</v>
      </c>
      <c r="R53" s="643">
        <f t="shared" si="16"/>
        <v>1.6051864298143046</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-4.6427441571320477E-2</v>
      </c>
      <c r="D54" s="643">
        <f t="shared" si="3"/>
        <v>-1.5031323330374838E-3</v>
      </c>
      <c r="E54" s="643">
        <f t="shared" si="4"/>
        <v>20.570159999999994</v>
      </c>
      <c r="F54" s="643">
        <f t="shared" si="5"/>
        <v>22.323939999999997</v>
      </c>
      <c r="G54" s="643">
        <f t="shared" si="6"/>
        <v>-31.667668354601066</v>
      </c>
      <c r="H54" s="643">
        <f t="shared" si="7"/>
        <v>-3.7443512865808026</v>
      </c>
      <c r="I54" s="643">
        <f t="shared" si="8"/>
        <v>35.000234241286165</v>
      </c>
      <c r="J54" s="643">
        <f t="shared" si="11"/>
        <v>66.888498314049997</v>
      </c>
      <c r="K54" s="643">
        <f t="shared" si="9"/>
        <v>68.725505877970377</v>
      </c>
      <c r="L54" s="670">
        <f t="shared" si="10"/>
        <v>66.667902595887227</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-4.4456425587165685E-2</v>
      </c>
      <c r="D55" s="643">
        <f t="shared" si="3"/>
        <v>-1.3468220434853295E-2</v>
      </c>
      <c r="E55" s="643">
        <f t="shared" si="4"/>
        <v>21.447049999999997</v>
      </c>
      <c r="F55" s="643">
        <f t="shared" si="5"/>
        <v>21.447049999999997</v>
      </c>
      <c r="G55" s="643">
        <f t="shared" si="6"/>
        <v>-32.118751226897231</v>
      </c>
      <c r="H55" s="643">
        <f t="shared" si="7"/>
        <v>-3.5853897761817404</v>
      </c>
      <c r="I55" s="643">
        <f t="shared" si="8"/>
        <v>35.451317113582327</v>
      </c>
      <c r="J55" s="643">
        <f t="shared" si="11"/>
        <v>67.769565831952889</v>
      </c>
      <c r="K55" s="643">
        <f t="shared" si="9"/>
        <v>67.823340133378053</v>
      </c>
      <c r="L55" s="670">
        <f t="shared" si="10"/>
        <v>67.570068340479565</v>
      </c>
      <c r="M55" s="671"/>
      <c r="T55" s="673"/>
      <c r="U55" s="674" t="s">
        <v>2062</v>
      </c>
      <c r="V55" s="675"/>
      <c r="W55" s="675"/>
      <c r="X55" s="675"/>
      <c r="Y55" s="675"/>
      <c r="Z55" s="675"/>
      <c r="AA55" s="675"/>
      <c r="AB55" s="676"/>
    </row>
    <row r="56" spans="1:28" s="625" customFormat="1">
      <c r="A56" s="643">
        <f t="shared" si="12"/>
        <v>10</v>
      </c>
      <c r="B56" s="643">
        <f t="shared" si="13"/>
        <v>150</v>
      </c>
      <c r="C56" s="643">
        <f t="shared" si="2"/>
        <v>-3.9455777666962503E-2</v>
      </c>
      <c r="D56" s="643">
        <f t="shared" si="3"/>
        <v>-2.4515471571320484E-2</v>
      </c>
      <c r="E56" s="643">
        <f t="shared" si="4"/>
        <v>22.32394</v>
      </c>
      <c r="F56" s="643">
        <f t="shared" si="5"/>
        <v>20.570160000000001</v>
      </c>
      <c r="G56" s="643">
        <f t="shared" si="6"/>
        <v>-32.58680009228658</v>
      </c>
      <c r="H56" s="643">
        <f t="shared" si="7"/>
        <v>-3.1820898776726469</v>
      </c>
      <c r="I56" s="643">
        <f t="shared" si="8"/>
        <v>35.919365978971669</v>
      </c>
      <c r="J56" s="643">
        <f>SQRT(G56^2+H56^2)+I56</f>
        <v>68.661162451435359</v>
      </c>
      <c r="K56" s="643">
        <f t="shared" si="9"/>
        <v>66.887242402599355</v>
      </c>
      <c r="L56" s="670">
        <f t="shared" si="10"/>
        <v>68.506166071258264</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-3.1766283702511375E-2</v>
      </c>
      <c r="D57" s="643">
        <f t="shared" si="3"/>
        <v>-3.3892033833934493E-2</v>
      </c>
      <c r="E57" s="643">
        <f t="shared" si="4"/>
        <v>22.965868032649073</v>
      </c>
      <c r="F57" s="643">
        <f t="shared" si="5"/>
        <v>19.928231967350925</v>
      </c>
      <c r="G57" s="643">
        <f t="shared" si="6"/>
        <v>-32.946401635269723</v>
      </c>
      <c r="H57" s="643">
        <f t="shared" si="7"/>
        <v>-2.5619358126523246</v>
      </c>
      <c r="I57" s="643">
        <f t="shared" si="8"/>
        <v>36.278967521954826</v>
      </c>
      <c r="J57" s="643">
        <f t="shared" si="11"/>
        <v>69.324828016435134</v>
      </c>
      <c r="K57" s="643">
        <f t="shared" si="9"/>
        <v>66.16803931663307</v>
      </c>
      <c r="L57" s="670">
        <f t="shared" si="10"/>
        <v>69.225369157224549</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-2.1911970000000003E-2</v>
      </c>
      <c r="D58" s="643">
        <f t="shared" si="3"/>
        <v>-4.0958910000000001E-2</v>
      </c>
      <c r="E58" s="643">
        <f t="shared" si="4"/>
        <v>23.20083</v>
      </c>
      <c r="F58" s="643">
        <f t="shared" si="5"/>
        <v>19.693269999999998</v>
      </c>
      <c r="G58" s="643">
        <f t="shared" si="6"/>
        <v>-33.101200912807357</v>
      </c>
      <c r="H58" s="643">
        <f t="shared" si="7"/>
        <v>-1.767190055798856</v>
      </c>
      <c r="I58" s="643">
        <f t="shared" si="8"/>
        <v>36.43376679949246</v>
      </c>
      <c r="J58" s="643">
        <f t="shared" si="11"/>
        <v>69.582107068099475</v>
      </c>
      <c r="K58" s="643">
        <f t="shared" si="9"/>
        <v>65.858440761557802</v>
      </c>
      <c r="L58" s="670">
        <f t="shared" si="10"/>
        <v>69.534967712299817</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-1.0564391753231204E-2</v>
      </c>
      <c r="D59" s="643">
        <f t="shared" si="3"/>
        <v>-4.5234504137364663E-2</v>
      </c>
      <c r="E59" s="643">
        <f t="shared" si="4"/>
        <v>22.965868032649077</v>
      </c>
      <c r="F59" s="643">
        <f t="shared" si="5"/>
        <v>19.928231967350928</v>
      </c>
      <c r="G59" s="643">
        <f t="shared" si="6"/>
        <v>-33.009719583494359</v>
      </c>
      <c r="H59" s="643">
        <f t="shared" si="7"/>
        <v>-0.85201321706234645</v>
      </c>
      <c r="I59" s="643">
        <f t="shared" si="8"/>
        <v>36.342285470179448</v>
      </c>
      <c r="J59" s="643">
        <f t="shared" si="11"/>
        <v>69.362998871058295</v>
      </c>
      <c r="K59" s="643">
        <f t="shared" si="9"/>
        <v>66.041403420183826</v>
      </c>
      <c r="L59" s="670">
        <f t="shared" si="10"/>
        <v>69.352005053673793</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1.5031323330375011E-3</v>
      </c>
      <c r="D60" s="643">
        <f t="shared" si="3"/>
        <v>-4.6427441571320484E-2</v>
      </c>
      <c r="E60" s="643">
        <f t="shared" si="4"/>
        <v>22.32394</v>
      </c>
      <c r="F60" s="643">
        <f t="shared" si="5"/>
        <v>20.570160000000001</v>
      </c>
      <c r="G60" s="643">
        <f t="shared" si="6"/>
        <v>-32.696469995642644</v>
      </c>
      <c r="H60" s="643">
        <f t="shared" si="7"/>
        <v>0.12122691439855048</v>
      </c>
      <c r="I60" s="643">
        <f t="shared" si="8"/>
        <v>36.02903588232774</v>
      </c>
      <c r="J60" s="643">
        <f t="shared" si="11"/>
        <v>68.725730610399779</v>
      </c>
      <c r="K60" s="643">
        <f t="shared" si="9"/>
        <v>66.667902595887242</v>
      </c>
      <c r="L60" s="670">
        <f t="shared" si="10"/>
        <v>68.725505877970392</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1.3468220434853293E-2</v>
      </c>
      <c r="D61" s="643">
        <f t="shared" si="3"/>
        <v>-4.4456425587165692E-2</v>
      </c>
      <c r="E61" s="643">
        <f t="shared" si="4"/>
        <v>21.447050000000004</v>
      </c>
      <c r="F61" s="643">
        <f t="shared" si="5"/>
        <v>21.447050000000001</v>
      </c>
      <c r="G61" s="643">
        <f t="shared" si="6"/>
        <v>-32.245387123346482</v>
      </c>
      <c r="H61" s="643">
        <f t="shared" si="7"/>
        <v>1.0862056319801314</v>
      </c>
      <c r="I61" s="643">
        <f t="shared" si="8"/>
        <v>35.577953010031578</v>
      </c>
      <c r="J61" s="643">
        <f t="shared" si="11"/>
        <v>67.841629697746896</v>
      </c>
      <c r="K61" s="643">
        <f t="shared" si="9"/>
        <v>67.570068340479565</v>
      </c>
      <c r="L61" s="670">
        <f t="shared" si="10"/>
        <v>67.823340133378053</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2.451547157132046E-2</v>
      </c>
      <c r="D62" s="643">
        <f t="shared" si="3"/>
        <v>-3.9455777666962517E-2</v>
      </c>
      <c r="E62" s="643">
        <f t="shared" si="4"/>
        <v>20.570160000000001</v>
      </c>
      <c r="F62" s="643">
        <f t="shared" si="5"/>
        <v>22.32394</v>
      </c>
      <c r="G62" s="643">
        <f t="shared" si="6"/>
        <v>-31.777338257957133</v>
      </c>
      <c r="H62" s="643">
        <f t="shared" si="7"/>
        <v>1.9771612307819457</v>
      </c>
      <c r="I62" s="643">
        <f t="shared" si="8"/>
        <v>35.109904144642236</v>
      </c>
      <c r="J62" s="643">
        <f t="shared" si="11"/>
        <v>66.948691704678708</v>
      </c>
      <c r="K62" s="643">
        <f t="shared" si="9"/>
        <v>68.506166071258264</v>
      </c>
      <c r="L62" s="670">
        <f t="shared" si="10"/>
        <v>66.887242402599355</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3.38920338339345E-2</v>
      </c>
      <c r="D63" s="643">
        <f t="shared" si="3"/>
        <v>-3.1766283702511361E-2</v>
      </c>
      <c r="E63" s="643">
        <f t="shared" si="4"/>
        <v>19.928231967350925</v>
      </c>
      <c r="F63" s="643">
        <f t="shared" si="5"/>
        <v>22.965868032649073</v>
      </c>
      <c r="G63" s="643">
        <f t="shared" si="6"/>
        <v>-31.417736714973984</v>
      </c>
      <c r="H63" s="643">
        <f t="shared" si="7"/>
        <v>2.7333765591193955</v>
      </c>
      <c r="I63" s="643">
        <f t="shared" si="8"/>
        <v>34.750302601659079</v>
      </c>
      <c r="J63" s="643">
        <f t="shared" si="11"/>
        <v>66.286718499876926</v>
      </c>
      <c r="K63" s="643">
        <f t="shared" si="9"/>
        <v>69.225369157224549</v>
      </c>
      <c r="L63" s="670">
        <f t="shared" si="10"/>
        <v>66.16803931663307</v>
      </c>
      <c r="M63" s="671"/>
      <c r="N63" s="638">
        <f>O70*180/PI()-INT(O70*180/PI()/360)*360</f>
        <v>0.62005874309649767</v>
      </c>
      <c r="O63" s="638">
        <f>INDEX($B73:$B85,MATCH($J$43,$J$73:$J$85,0))</f>
        <v>0</v>
      </c>
      <c r="P63" s="653"/>
      <c r="Q63" s="687"/>
      <c r="R63" s="687"/>
      <c r="S63" s="687"/>
      <c r="V63" s="687"/>
      <c r="W63" s="687"/>
      <c r="X63" s="687"/>
      <c r="Y63" s="687"/>
      <c r="Z63" s="687"/>
      <c r="AA63" s="687"/>
      <c r="AB63" s="688"/>
    </row>
    <row r="64" spans="1:28" s="625" customFormat="1">
      <c r="A64" s="643">
        <f t="shared" si="12"/>
        <v>18</v>
      </c>
      <c r="B64" s="643">
        <f t="shared" si="13"/>
        <v>270</v>
      </c>
      <c r="C64" s="643">
        <f t="shared" si="2"/>
        <v>4.0958909999999994E-2</v>
      </c>
      <c r="D64" s="643">
        <f t="shared" si="3"/>
        <v>-2.1911970000000006E-2</v>
      </c>
      <c r="E64" s="643">
        <f t="shared" si="4"/>
        <v>19.693269999999998</v>
      </c>
      <c r="F64" s="643">
        <f t="shared" si="5"/>
        <v>23.20083</v>
      </c>
      <c r="G64" s="643">
        <f t="shared" si="6"/>
        <v>-31.262937437436349</v>
      </c>
      <c r="H64" s="643">
        <f t="shared" si="7"/>
        <v>3.3033167920711972</v>
      </c>
      <c r="I64" s="643">
        <f t="shared" si="8"/>
        <v>34.595503324121445</v>
      </c>
      <c r="J64" s="643">
        <f t="shared" si="11"/>
        <v>66.032474537103127</v>
      </c>
      <c r="K64" s="643">
        <f t="shared" si="9"/>
        <v>69.534967712299817</v>
      </c>
      <c r="L64" s="670">
        <f t="shared" si="10"/>
        <v>65.858440761557802</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4.523450413736467E-2</v>
      </c>
      <c r="D65" s="643">
        <f t="shared" si="3"/>
        <v>-1.056439175323117E-2</v>
      </c>
      <c r="E65" s="643">
        <f t="shared" si="4"/>
        <v>19.928231967350928</v>
      </c>
      <c r="F65" s="643">
        <f t="shared" si="5"/>
        <v>22.965868032649073</v>
      </c>
      <c r="G65" s="643">
        <f t="shared" si="6"/>
        <v>-31.354418766749362</v>
      </c>
      <c r="H65" s="643">
        <f t="shared" si="7"/>
        <v>3.6481414446324565</v>
      </c>
      <c r="I65" s="643">
        <f t="shared" si="8"/>
        <v>34.686984653434457</v>
      </c>
      <c r="J65" s="643">
        <f t="shared" si="11"/>
        <v>66.25292376825773</v>
      </c>
      <c r="K65" s="643">
        <f t="shared" si="9"/>
        <v>69.352005053673793</v>
      </c>
      <c r="L65" s="670">
        <f t="shared" si="10"/>
        <v>66.041403420183826</v>
      </c>
      <c r="M65" s="671"/>
      <c r="N65" s="643">
        <v>1</v>
      </c>
      <c r="O65" s="643">
        <f>O63*PI()/180</f>
        <v>0</v>
      </c>
      <c r="P65" s="643">
        <f t="shared" ref="P65:P70" si="17">SIN(O65)</f>
        <v>0</v>
      </c>
      <c r="Q65" s="643">
        <f t="shared" ref="Q65:Q70" si="18">COS(O65)</f>
        <v>1</v>
      </c>
      <c r="R65" s="643">
        <f t="shared" ref="R65:R70" si="19">($E$18*($E$19*Q65-$E$20*P65+$E$28)^2-$E$18*($E$21+$E$26)^2+$E$24-$E$22*Q65^2-$E$23*P65^2)/2</f>
        <v>-33.101200912807357</v>
      </c>
      <c r="S65" s="643">
        <f t="shared" ref="S65:S70" si="20">$E$18*($E$19*Q65-$E$20*P65+$E$28)*(-$E$19*P65-$E$20*Q65)-($E$23-$E$22)*P65*Q65</f>
        <v>-0.12663589644924597</v>
      </c>
      <c r="T65" s="643">
        <f t="shared" ref="T65:T70" si="21">$E$18*(-$E$19*P65-$E$20*Q65)^2+$E$18*($E$19*Q65-$E$20*P65+$E$28)*(-$E$19*Q65+$E$20*P65)-($E$23-$E$22)*(Q65^2-P65^2)</f>
        <v>3.6765269507420273</v>
      </c>
      <c r="U65" s="643">
        <f t="shared" ref="U65:U70" si="22">$E$18*($E$19*Q65-$E$20*P65+$E$28)*($E$21+$E$26)</f>
        <v>1.7671900557988558</v>
      </c>
      <c r="V65" s="643">
        <f t="shared" ref="V65:V70" si="23">$E$18*($E$21+$E$26)*(-$E$19*P65-$E$20*Q65)</f>
        <v>-3.3033167920711977</v>
      </c>
      <c r="W65" s="643">
        <f t="shared" ref="W65:W70" si="24">$E$18*($E$21+$E$26)*(-$E$19*Q65+$E$20*P65)</f>
        <v>-1.7671900557988558</v>
      </c>
      <c r="X65" s="643">
        <f t="shared" ref="X65:X70" si="25">S65+2*($E$23-$E$22)*P65*Q65+2*$E$18*($E$19*P65+$E$20*Q65+$E$27)*($E$19*Q65-$E$20*P65)</f>
        <v>0.12663589644924597</v>
      </c>
      <c r="Y65" s="643">
        <f t="shared" ref="Y65:Y70" si="26">T65+2*($E$23-$E$22)*(Q65^2-P65^2)+2*$E$18*($E$19*Q65-$E$20*P65)^2+2*$E$18*($E$19*P65+$E$20*Q65+$E$27)*(-$E$19*P65-$E$20*Q65)</f>
        <v>-3.6765269507420277</v>
      </c>
      <c r="Z65" s="643">
        <f t="shared" ref="Z65:Z70" si="27">IF(OR(R65,U65),(R65^2+U65^2)^(-0.5)*(R65*S65+U65*V65)+X65,0)</f>
        <v>7.6986703710619622E-2</v>
      </c>
      <c r="AA65" s="643">
        <f t="shared" ref="AA65:AA70" si="28">IF(OR(R65,U65),(-1)*(R65^2+U65^2)^(-1.5)*(R65*S65+U65*V65)^2+(R65^2+U65^2)^(-0.5)*(S65^2+R65*T65+V65^2+U65*W65)+Y65,0)</f>
        <v>-7.1124439104316046</v>
      </c>
      <c r="AB65" s="643">
        <f t="shared" ref="AB65:AB70" si="29">IF(AA65=0,O65,O65-Z65/AA65)</f>
        <v>1.0824226479692244E-2</v>
      </c>
    </row>
    <row r="66" spans="1:28" s="625" customFormat="1">
      <c r="A66" s="643">
        <f t="shared" si="12"/>
        <v>20</v>
      </c>
      <c r="B66" s="643">
        <f t="shared" si="13"/>
        <v>300</v>
      </c>
      <c r="C66" s="643">
        <f t="shared" si="2"/>
        <v>4.6427441571320484E-2</v>
      </c>
      <c r="D66" s="643">
        <f t="shared" si="3"/>
        <v>1.5031323330375011E-3</v>
      </c>
      <c r="E66" s="643">
        <f t="shared" si="4"/>
        <v>20.570160000000001</v>
      </c>
      <c r="F66" s="643">
        <f t="shared" si="5"/>
        <v>22.32394</v>
      </c>
      <c r="G66" s="643">
        <f t="shared" si="6"/>
        <v>-31.667668354601069</v>
      </c>
      <c r="H66" s="643">
        <f t="shared" si="7"/>
        <v>3.7443512865808031</v>
      </c>
      <c r="I66" s="643">
        <f t="shared" si="8"/>
        <v>35.000234241286172</v>
      </c>
      <c r="J66" s="643">
        <f t="shared" si="11"/>
        <v>66.888498314050011</v>
      </c>
      <c r="K66" s="643">
        <f t="shared" si="9"/>
        <v>68.725505877970392</v>
      </c>
      <c r="L66" s="670">
        <f t="shared" si="10"/>
        <v>66.667902595887242</v>
      </c>
      <c r="M66" s="671"/>
      <c r="N66" s="643">
        <f>N65+1</f>
        <v>2</v>
      </c>
      <c r="O66" s="643">
        <f>AB65</f>
        <v>1.0824226479692244E-2</v>
      </c>
      <c r="P66" s="643">
        <f t="shared" si="17"/>
        <v>1.0824015112870429E-2</v>
      </c>
      <c r="Q66" s="643">
        <f t="shared" si="18"/>
        <v>0.99994141863252983</v>
      </c>
      <c r="R66" s="643">
        <f t="shared" si="19"/>
        <v>-33.10235617169856</v>
      </c>
      <c r="S66" s="643">
        <f t="shared" si="20"/>
        <v>-8.6813771257594402E-2</v>
      </c>
      <c r="T66" s="643">
        <f t="shared" si="21"/>
        <v>3.6811479863068017</v>
      </c>
      <c r="U66" s="643">
        <f t="shared" si="22"/>
        <v>1.73133138050883</v>
      </c>
      <c r="V66" s="643">
        <f t="shared" si="23"/>
        <v>-3.3222513711276118</v>
      </c>
      <c r="W66" s="643">
        <f t="shared" si="24"/>
        <v>-1.73133138050883</v>
      </c>
      <c r="X66" s="643">
        <f t="shared" si="25"/>
        <v>8.6813771257594374E-2</v>
      </c>
      <c r="Y66" s="643">
        <f t="shared" si="26"/>
        <v>-3.6811479863068013</v>
      </c>
      <c r="Z66" s="643">
        <f t="shared" si="27"/>
        <v>-1.5366786680959255E-5</v>
      </c>
      <c r="AA66" s="643">
        <f t="shared" si="28"/>
        <v>-7.1147245674579915</v>
      </c>
      <c r="AB66" s="643">
        <f t="shared" si="29"/>
        <v>1.0822066622829864E-2</v>
      </c>
    </row>
    <row r="67" spans="1:28" s="625" customFormat="1">
      <c r="A67" s="643">
        <f t="shared" si="12"/>
        <v>21</v>
      </c>
      <c r="B67" s="643">
        <f t="shared" si="13"/>
        <v>315</v>
      </c>
      <c r="C67" s="643">
        <f t="shared" si="2"/>
        <v>4.4456425587165692E-2</v>
      </c>
      <c r="D67" s="643">
        <f t="shared" si="3"/>
        <v>1.346822043485329E-2</v>
      </c>
      <c r="E67" s="643">
        <f t="shared" si="4"/>
        <v>21.447049999999997</v>
      </c>
      <c r="F67" s="643">
        <f t="shared" si="5"/>
        <v>21.447050000000001</v>
      </c>
      <c r="G67" s="643">
        <f t="shared" si="6"/>
        <v>-32.118751226897231</v>
      </c>
      <c r="H67" s="643">
        <f t="shared" si="7"/>
        <v>3.5853897761817408</v>
      </c>
      <c r="I67" s="643">
        <f t="shared" si="8"/>
        <v>35.451317113582327</v>
      </c>
      <c r="J67" s="643">
        <f t="shared" si="11"/>
        <v>67.769565831952889</v>
      </c>
      <c r="K67" s="643">
        <f t="shared" si="9"/>
        <v>67.823340133378053</v>
      </c>
      <c r="L67" s="670">
        <f t="shared" si="10"/>
        <v>67.570068340479565</v>
      </c>
      <c r="M67" s="671"/>
      <c r="N67" s="643">
        <f>N66+1</f>
        <v>3</v>
      </c>
      <c r="O67" s="643">
        <f>AB66</f>
        <v>1.0822066622829864E-2</v>
      </c>
      <c r="P67" s="643">
        <f t="shared" si="17"/>
        <v>1.0821855382510173E-2</v>
      </c>
      <c r="Q67" s="643">
        <f t="shared" si="18"/>
        <v>0.99994144200852086</v>
      </c>
      <c r="R67" s="643">
        <f t="shared" si="19"/>
        <v>-33.102355984184648</v>
      </c>
      <c r="S67" s="643">
        <f t="shared" si="20"/>
        <v>-8.6821722009524094E-2</v>
      </c>
      <c r="T67" s="643">
        <f t="shared" si="21"/>
        <v>3.6811472362511788</v>
      </c>
      <c r="U67" s="643">
        <f t="shared" si="22"/>
        <v>1.7313385560922143</v>
      </c>
      <c r="V67" s="643">
        <f t="shared" si="23"/>
        <v>-3.3222476316918996</v>
      </c>
      <c r="W67" s="643">
        <f t="shared" si="24"/>
        <v>-1.7313385560922145</v>
      </c>
      <c r="X67" s="643">
        <f t="shared" si="25"/>
        <v>8.6821722009524066E-2</v>
      </c>
      <c r="Y67" s="643">
        <f t="shared" si="26"/>
        <v>-3.6811472362511783</v>
      </c>
      <c r="Z67" s="643">
        <f t="shared" si="27"/>
        <v>-1.3032630530318556E-13</v>
      </c>
      <c r="AA67" s="643">
        <f t="shared" si="28"/>
        <v>-7.1147244467765631</v>
      </c>
      <c r="AB67" s="643">
        <f t="shared" si="29"/>
        <v>1.0822066622811545E-2</v>
      </c>
    </row>
    <row r="68" spans="1:28" s="625" customFormat="1">
      <c r="A68" s="643">
        <f t="shared" si="12"/>
        <v>22</v>
      </c>
      <c r="B68" s="643">
        <f t="shared" si="13"/>
        <v>330</v>
      </c>
      <c r="C68" s="643">
        <f t="shared" si="2"/>
        <v>3.9455777666962517E-2</v>
      </c>
      <c r="D68" s="643">
        <f t="shared" si="3"/>
        <v>2.451547157132046E-2</v>
      </c>
      <c r="E68" s="643">
        <f t="shared" si="4"/>
        <v>22.32394</v>
      </c>
      <c r="F68" s="643">
        <f t="shared" si="5"/>
        <v>20.570160000000001</v>
      </c>
      <c r="G68" s="643">
        <f t="shared" si="6"/>
        <v>-32.58680009228658</v>
      </c>
      <c r="H68" s="643">
        <f t="shared" si="7"/>
        <v>3.1820898776726483</v>
      </c>
      <c r="I68" s="643">
        <f t="shared" si="8"/>
        <v>35.919365978971669</v>
      </c>
      <c r="J68" s="643">
        <f t="shared" si="11"/>
        <v>68.661162451435359</v>
      </c>
      <c r="K68" s="643">
        <f t="shared" si="9"/>
        <v>66.887242402599355</v>
      </c>
      <c r="L68" s="670">
        <f t="shared" si="10"/>
        <v>68.506166071258264</v>
      </c>
      <c r="M68" s="671"/>
      <c r="N68" s="643">
        <f>N67+1</f>
        <v>4</v>
      </c>
      <c r="O68" s="643">
        <f>AB67</f>
        <v>1.0822066622811545E-2</v>
      </c>
      <c r="P68" s="643">
        <f t="shared" si="17"/>
        <v>1.0821855382491856E-2</v>
      </c>
      <c r="Q68" s="643">
        <f t="shared" si="18"/>
        <v>0.99994144200852109</v>
      </c>
      <c r="R68" s="643">
        <f t="shared" si="19"/>
        <v>-33.102355984184648</v>
      </c>
      <c r="S68" s="643">
        <f t="shared" si="20"/>
        <v>-8.6821722009591512E-2</v>
      </c>
      <c r="T68" s="643">
        <f t="shared" si="21"/>
        <v>3.6811472362511726</v>
      </c>
      <c r="U68" s="643">
        <f t="shared" si="22"/>
        <v>1.7313385560922754</v>
      </c>
      <c r="V68" s="643">
        <f t="shared" si="23"/>
        <v>-3.3222476316918677</v>
      </c>
      <c r="W68" s="643">
        <f t="shared" si="24"/>
        <v>-1.7313385560922752</v>
      </c>
      <c r="X68" s="643">
        <f t="shared" si="25"/>
        <v>8.6821722009591512E-2</v>
      </c>
      <c r="Y68" s="643">
        <f t="shared" si="26"/>
        <v>-3.6811472362511726</v>
      </c>
      <c r="Z68" s="643">
        <f t="shared" si="27"/>
        <v>0</v>
      </c>
      <c r="AA68" s="643">
        <f t="shared" si="28"/>
        <v>-7.1147244467765631</v>
      </c>
      <c r="AB68" s="643">
        <f t="shared" si="29"/>
        <v>1.0822066622811545E-2</v>
      </c>
    </row>
    <row r="69" spans="1:28" s="625" customFormat="1">
      <c r="A69" s="643">
        <f t="shared" si="12"/>
        <v>23</v>
      </c>
      <c r="B69" s="643">
        <f t="shared" si="13"/>
        <v>345</v>
      </c>
      <c r="C69" s="643">
        <f t="shared" si="2"/>
        <v>3.1766283702511361E-2</v>
      </c>
      <c r="D69" s="643">
        <f t="shared" si="3"/>
        <v>3.38920338339345E-2</v>
      </c>
      <c r="E69" s="643">
        <f t="shared" si="4"/>
        <v>22.965868032649073</v>
      </c>
      <c r="F69" s="643">
        <f t="shared" si="5"/>
        <v>19.928231967350925</v>
      </c>
      <c r="G69" s="643">
        <f t="shared" si="6"/>
        <v>-32.946401635269723</v>
      </c>
      <c r="H69" s="643">
        <f t="shared" si="7"/>
        <v>2.5619358126523237</v>
      </c>
      <c r="I69" s="643">
        <f t="shared" si="8"/>
        <v>36.278967521954826</v>
      </c>
      <c r="J69" s="643">
        <f t="shared" si="11"/>
        <v>69.324828016435134</v>
      </c>
      <c r="K69" s="643">
        <f t="shared" si="9"/>
        <v>66.16803931663307</v>
      </c>
      <c r="L69" s="670">
        <f t="shared" si="10"/>
        <v>69.225369157224549</v>
      </c>
      <c r="M69" s="671"/>
      <c r="N69" s="643">
        <f>N68+1</f>
        <v>5</v>
      </c>
      <c r="O69" s="643">
        <f>AB68</f>
        <v>1.0822066622811545E-2</v>
      </c>
      <c r="P69" s="643">
        <f t="shared" si="17"/>
        <v>1.0821855382491856E-2</v>
      </c>
      <c r="Q69" s="643">
        <f t="shared" si="18"/>
        <v>0.99994144200852109</v>
      </c>
      <c r="R69" s="643">
        <f t="shared" si="19"/>
        <v>-33.102355984184648</v>
      </c>
      <c r="S69" s="643">
        <f t="shared" si="20"/>
        <v>-8.6821722009591512E-2</v>
      </c>
      <c r="T69" s="643">
        <f t="shared" si="21"/>
        <v>3.6811472362511726</v>
      </c>
      <c r="U69" s="643">
        <f t="shared" si="22"/>
        <v>1.7313385560922754</v>
      </c>
      <c r="V69" s="643">
        <f t="shared" si="23"/>
        <v>-3.3222476316918677</v>
      </c>
      <c r="W69" s="643">
        <f t="shared" si="24"/>
        <v>-1.7313385560922752</v>
      </c>
      <c r="X69" s="643">
        <f t="shared" si="25"/>
        <v>8.6821722009591512E-2</v>
      </c>
      <c r="Y69" s="643">
        <f t="shared" si="26"/>
        <v>-3.6811472362511726</v>
      </c>
      <c r="Z69" s="643">
        <f t="shared" si="27"/>
        <v>0</v>
      </c>
      <c r="AA69" s="643">
        <f t="shared" si="28"/>
        <v>-7.1147244467765631</v>
      </c>
      <c r="AB69" s="643">
        <f t="shared" si="29"/>
        <v>1.0822066622811545E-2</v>
      </c>
    </row>
    <row r="70" spans="1:28" s="625" customFormat="1">
      <c r="A70" s="643">
        <f t="shared" si="12"/>
        <v>24</v>
      </c>
      <c r="B70" s="643">
        <f t="shared" si="13"/>
        <v>360</v>
      </c>
      <c r="C70" s="643">
        <f t="shared" si="2"/>
        <v>2.191197000000001E-2</v>
      </c>
      <c r="D70" s="643">
        <f t="shared" si="3"/>
        <v>4.0958909999999994E-2</v>
      </c>
      <c r="E70" s="643">
        <f t="shared" si="4"/>
        <v>23.20083</v>
      </c>
      <c r="F70" s="643">
        <f t="shared" si="5"/>
        <v>19.693269999999998</v>
      </c>
      <c r="G70" s="643">
        <f t="shared" si="6"/>
        <v>-33.101200912807357</v>
      </c>
      <c r="H70" s="643">
        <f t="shared" si="7"/>
        <v>1.7671900557988565</v>
      </c>
      <c r="I70" s="643">
        <f t="shared" si="8"/>
        <v>36.43376679949246</v>
      </c>
      <c r="J70" s="643">
        <f t="shared" si="11"/>
        <v>69.582107068099475</v>
      </c>
      <c r="K70" s="643">
        <f t="shared" si="9"/>
        <v>65.858440761557802</v>
      </c>
      <c r="L70" s="670">
        <f t="shared" si="10"/>
        <v>69.534967712299817</v>
      </c>
      <c r="M70" s="671"/>
      <c r="N70" s="643">
        <f>N69+1</f>
        <v>6</v>
      </c>
      <c r="O70" s="643">
        <f>AB69</f>
        <v>1.0822066622811545E-2</v>
      </c>
      <c r="P70" s="643">
        <f t="shared" si="17"/>
        <v>1.0821855382491856E-2</v>
      </c>
      <c r="Q70" s="643">
        <f t="shared" si="18"/>
        <v>0.99994144200852109</v>
      </c>
      <c r="R70" s="643">
        <f t="shared" si="19"/>
        <v>-33.102355984184648</v>
      </c>
      <c r="S70" s="643">
        <f t="shared" si="20"/>
        <v>-8.6821722009591512E-2</v>
      </c>
      <c r="T70" s="643">
        <f t="shared" si="21"/>
        <v>3.6811472362511726</v>
      </c>
      <c r="U70" s="643">
        <f t="shared" si="22"/>
        <v>1.7313385560922754</v>
      </c>
      <c r="V70" s="643">
        <f t="shared" si="23"/>
        <v>-3.3222476316918677</v>
      </c>
      <c r="W70" s="643">
        <f t="shared" si="24"/>
        <v>-1.7313385560922752</v>
      </c>
      <c r="X70" s="643">
        <f t="shared" si="25"/>
        <v>8.6821722009591512E-2</v>
      </c>
      <c r="Y70" s="643">
        <f t="shared" si="26"/>
        <v>-3.6811472362511726</v>
      </c>
      <c r="Z70" s="643">
        <f t="shared" si="27"/>
        <v>0</v>
      </c>
      <c r="AA70" s="643">
        <f t="shared" si="28"/>
        <v>-7.1147244467765631</v>
      </c>
      <c r="AB70" s="643">
        <f t="shared" si="29"/>
        <v>1.0822066622811545E-2</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-12</v>
      </c>
      <c r="C73" s="643">
        <f t="shared" ref="C73:C85" si="31">$E$19*COS(B73*PI()/180)-$E$20*SIN(B73*PI()/180)</f>
        <v>2.9948977115003557E-2</v>
      </c>
      <c r="D73" s="643">
        <f t="shared" ref="D73:D85" si="32">$E$19*SIN(B73*PI()/180)+$E$20*COS(B73*PI()/180)</f>
        <v>3.5508104813323865E-2</v>
      </c>
      <c r="E73" s="643">
        <f t="shared" ref="E73:E85" si="33">$E$22*COS(B73*PI()/180)^2+$E$23*SIN(B73*PI()/180)^2</f>
        <v>23.049207752704444</v>
      </c>
      <c r="F73" s="643">
        <f t="shared" ref="F73:F85" si="34">$E$22*SIN(B73*PI()/180)^2+$E$23*COS(B73*PI()/180)^2</f>
        <v>19.844892247295558</v>
      </c>
      <c r="G73" s="643">
        <f t="shared" ref="G73:G85" si="35">($E$18*(C73+$E$28)^2-$E$18*($E$21+$E$26)^2+$E$24-E73)/2</f>
        <v>-32.995984069352275</v>
      </c>
      <c r="H73" s="643">
        <f t="shared" ref="H73:H85" si="36">$E$18*(C73+$E$28)*($E$21+$E$26)</f>
        <v>2.4153708926665103</v>
      </c>
      <c r="I73" s="643">
        <f t="shared" ref="I73:I85" si="37">$E$18*((C73+$E$28)^2+($E$21+$E$26)^2)/2+$E$18*(D73+$E$27)^2+($E$24+E73)/2</f>
        <v>36.328549956037364</v>
      </c>
      <c r="J73" s="643">
        <f>SQRT(G73^2+H73^2)+I73</f>
        <v>69.412820860110344</v>
      </c>
      <c r="K73" s="670">
        <f>IF(G73=0,0,IF((PI()/2-ATAN2(H73,G73))/2*180/PI()&gt;90,(PI()/2-ATAN2(H73,G73))/2*180/PI()-180,(PI()/2-ATAN2(H73,G73))/2*180/PI()))</f>
        <v>87.906651917851192</v>
      </c>
      <c r="L73" s="670">
        <f>IF(G73=0,0,SQRT(G73^2+H73^2)*SIN(2*K73*PI()/180+ATAN2(H73,G73))+I73)</f>
        <v>69.412820860110344</v>
      </c>
    </row>
    <row r="74" spans="1:28" s="625" customFormat="1">
      <c r="A74" s="643">
        <v>1</v>
      </c>
      <c r="B74" s="643">
        <f t="shared" si="30"/>
        <v>-10</v>
      </c>
      <c r="C74" s="643">
        <f t="shared" si="31"/>
        <v>2.8691518020494723E-2</v>
      </c>
      <c r="D74" s="643">
        <f t="shared" si="32"/>
        <v>3.6531678463336811E-2</v>
      </c>
      <c r="E74" s="643">
        <f t="shared" si="33"/>
        <v>23.095064124481908</v>
      </c>
      <c r="F74" s="643">
        <f t="shared" si="34"/>
        <v>19.799035875518086</v>
      </c>
      <c r="G74" s="643">
        <f t="shared" si="35"/>
        <v>-33.024114472828181</v>
      </c>
      <c r="H74" s="643">
        <f t="shared" si="36"/>
        <v>2.3139574091965236</v>
      </c>
      <c r="I74" s="643">
        <f t="shared" si="37"/>
        <v>36.356680359513277</v>
      </c>
      <c r="J74" s="643">
        <f>SQRT(G74^2+H74^2)+I74</f>
        <v>69.461763588619277</v>
      </c>
      <c r="K74" s="670">
        <f t="shared" ref="K74:K85" si="38">IF(G74=0,0,IF((PI()/2-ATAN2(H74,G74))/2*180/PI()&gt;90,(PI()/2-ATAN2(H74,G74))/2*180/PI()-180,(PI()/2-ATAN2(H74,G74))/2*180/PI()))</f>
        <v>87.995954473720914</v>
      </c>
      <c r="L74" s="670">
        <f t="shared" ref="L74:L85" si="39">IF(G74=0,0,SQRT(G74^2+H74^2)*SIN(2*K74*PI()/180+ATAN2(H74,G74))+I74)</f>
        <v>69.461763588619277</v>
      </c>
    </row>
    <row r="75" spans="1:28" s="625" customFormat="1">
      <c r="A75" s="643">
        <f>A74+1</f>
        <v>2</v>
      </c>
      <c r="B75" s="643">
        <f t="shared" si="30"/>
        <v>-8</v>
      </c>
      <c r="C75" s="643">
        <f t="shared" si="31"/>
        <v>2.7399102730867462E-2</v>
      </c>
      <c r="D75" s="643">
        <f t="shared" si="32"/>
        <v>3.7510743890415872E-2</v>
      </c>
      <c r="E75" s="643">
        <f t="shared" si="33"/>
        <v>23.132891537102708</v>
      </c>
      <c r="F75" s="643">
        <f t="shared" si="34"/>
        <v>19.761208462897294</v>
      </c>
      <c r="G75" s="643">
        <f t="shared" si="35"/>
        <v>-33.048142516255766</v>
      </c>
      <c r="H75" s="643">
        <f t="shared" si="36"/>
        <v>2.2097247250612453</v>
      </c>
      <c r="I75" s="643">
        <f t="shared" si="37"/>
        <v>36.380708402940868</v>
      </c>
      <c r="J75" s="643">
        <f t="shared" ref="J75:J84" si="40">SQRT(G75^2+H75^2)+I75</f>
        <v>69.502643840582465</v>
      </c>
      <c r="K75" s="670">
        <f t="shared" si="38"/>
        <v>88.087339903430632</v>
      </c>
      <c r="L75" s="670">
        <f t="shared" si="39"/>
        <v>69.502643840582465</v>
      </c>
    </row>
    <row r="76" spans="1:28" s="625" customFormat="1">
      <c r="A76" s="643">
        <f t="shared" ref="A76:A84" si="41">A75+1</f>
        <v>3</v>
      </c>
      <c r="B76" s="643">
        <f t="shared" si="30"/>
        <v>-6</v>
      </c>
      <c r="C76" s="643">
        <f t="shared" si="31"/>
        <v>2.6073305855070866E-2</v>
      </c>
      <c r="D76" s="643">
        <f t="shared" si="32"/>
        <v>3.8444108254151593E-2</v>
      </c>
      <c r="E76" s="643">
        <f t="shared" si="33"/>
        <v>23.162505699214929</v>
      </c>
      <c r="F76" s="643">
        <f t="shared" si="34"/>
        <v>19.731594300785062</v>
      </c>
      <c r="G76" s="643">
        <f t="shared" si="35"/>
        <v>-33.067951137422732</v>
      </c>
      <c r="H76" s="643">
        <f t="shared" si="36"/>
        <v>2.1027998317304797</v>
      </c>
      <c r="I76" s="643">
        <f t="shared" si="37"/>
        <v>36.400517024107828</v>
      </c>
      <c r="J76" s="643">
        <f t="shared" si="40"/>
        <v>69.535259509289489</v>
      </c>
      <c r="K76" s="670">
        <f t="shared" si="38"/>
        <v>88.180722628884894</v>
      </c>
      <c r="L76" s="670">
        <f t="shared" si="39"/>
        <v>69.535259509289489</v>
      </c>
    </row>
    <row r="77" spans="1:28" s="625" customFormat="1">
      <c r="A77" s="643">
        <f t="shared" si="41"/>
        <v>4</v>
      </c>
      <c r="B77" s="643">
        <f t="shared" si="30"/>
        <v>-4</v>
      </c>
      <c r="C77" s="643">
        <f t="shared" si="31"/>
        <v>2.4715742672374749E-2</v>
      </c>
      <c r="D77" s="643">
        <f t="shared" si="32"/>
        <v>3.9330634393840554E-2</v>
      </c>
      <c r="E77" s="643">
        <f t="shared" si="33"/>
        <v>23.183762333597588</v>
      </c>
      <c r="F77" s="643">
        <f t="shared" si="34"/>
        <v>19.710337666402406</v>
      </c>
      <c r="G77" s="643">
        <f t="shared" si="35"/>
        <v>-33.083443830717911</v>
      </c>
      <c r="H77" s="643">
        <f t="shared" si="36"/>
        <v>1.9933130007162339</v>
      </c>
      <c r="I77" s="643">
        <f t="shared" si="37"/>
        <v>36.416009717403014</v>
      </c>
      <c r="J77" s="643">
        <f t="shared" si="40"/>
        <v>69.559448772804188</v>
      </c>
      <c r="K77" s="670">
        <f t="shared" si="38"/>
        <v>88.276018005935427</v>
      </c>
      <c r="L77" s="670">
        <f t="shared" si="39"/>
        <v>69.559448772804188</v>
      </c>
    </row>
    <row r="78" spans="1:28" s="625" customFormat="1">
      <c r="A78" s="643">
        <f t="shared" si="41"/>
        <v>5</v>
      </c>
      <c r="B78" s="643">
        <f t="shared" si="30"/>
        <v>-2</v>
      </c>
      <c r="C78" s="643">
        <f t="shared" si="31"/>
        <v>2.332806716440065E-2</v>
      </c>
      <c r="D78" s="643">
        <f t="shared" si="32"/>
        <v>4.0169242213940415E-2</v>
      </c>
      <c r="E78" s="643">
        <f t="shared" si="33"/>
        <v>23.196557880064677</v>
      </c>
      <c r="F78" s="643">
        <f t="shared" si="34"/>
        <v>19.697542119935324</v>
      </c>
      <c r="G78" s="643">
        <f t="shared" si="35"/>
        <v>-33.094545117296896</v>
      </c>
      <c r="H78" s="643">
        <f t="shared" si="36"/>
        <v>1.8813976248569455</v>
      </c>
      <c r="I78" s="643">
        <f t="shared" si="37"/>
        <v>36.427111003981992</v>
      </c>
      <c r="J78" s="643">
        <f t="shared" si="40"/>
        <v>69.575090935549724</v>
      </c>
      <c r="K78" s="670">
        <f t="shared" si="38"/>
        <v>88.373142136535094</v>
      </c>
      <c r="L78" s="670">
        <f t="shared" si="39"/>
        <v>69.575090935549724</v>
      </c>
    </row>
    <row r="79" spans="1:28" s="625" customFormat="1" ht="14.25">
      <c r="A79" s="695">
        <f t="shared" si="41"/>
        <v>6</v>
      </c>
      <c r="B79" s="695">
        <f>INDEX($B46:$B70,MATCH($J$44,$J$46:$J$70,0))</f>
        <v>0</v>
      </c>
      <c r="C79" s="695">
        <f t="shared" si="31"/>
        <v>2.1911969999999999E-2</v>
      </c>
      <c r="D79" s="695">
        <f t="shared" si="32"/>
        <v>4.0958910000000001E-2</v>
      </c>
      <c r="E79" s="695">
        <f t="shared" si="33"/>
        <v>23.20083</v>
      </c>
      <c r="F79" s="695">
        <f t="shared" si="34"/>
        <v>19.693269999999998</v>
      </c>
      <c r="G79" s="695">
        <f t="shared" si="35"/>
        <v>-33.101200912807357</v>
      </c>
      <c r="H79" s="695">
        <f t="shared" si="36"/>
        <v>1.7671900557988558</v>
      </c>
      <c r="I79" s="695">
        <f t="shared" si="37"/>
        <v>36.43376679949246</v>
      </c>
      <c r="J79" s="695">
        <f t="shared" si="40"/>
        <v>69.582107068099475</v>
      </c>
      <c r="K79" s="670">
        <f t="shared" si="38"/>
        <v>88.472011653493183</v>
      </c>
      <c r="L79" s="670">
        <f t="shared" si="39"/>
        <v>69.582107068099475</v>
      </c>
    </row>
    <row r="80" spans="1:28" s="625" customFormat="1">
      <c r="A80" s="643">
        <f t="shared" si="41"/>
        <v>7</v>
      </c>
      <c r="B80" s="643">
        <f t="shared" ref="B80:B85" si="42">B79+2</f>
        <v>2</v>
      </c>
      <c r="C80" s="643">
        <f t="shared" si="31"/>
        <v>2.0469176475434583E-2</v>
      </c>
      <c r="D80" s="643">
        <f t="shared" si="32"/>
        <v>4.1698675663461013E-2</v>
      </c>
      <c r="E80" s="643">
        <f t="shared" si="33"/>
        <v>23.196557880064677</v>
      </c>
      <c r="F80" s="643">
        <f t="shared" si="34"/>
        <v>19.697542119935324</v>
      </c>
      <c r="G80" s="643">
        <f t="shared" si="35"/>
        <v>-33.103378790882623</v>
      </c>
      <c r="H80" s="643">
        <f t="shared" si="36"/>
        <v>1.6508294378725359</v>
      </c>
      <c r="I80" s="643">
        <f t="shared" si="37"/>
        <v>36.435944677567718</v>
      </c>
      <c r="J80" s="643">
        <f t="shared" si="40"/>
        <v>69.580460441199023</v>
      </c>
      <c r="K80" s="670">
        <f t="shared" si="38"/>
        <v>88.572543480582439</v>
      </c>
      <c r="L80" s="670">
        <f t="shared" si="39"/>
        <v>69.580460441199023</v>
      </c>
    </row>
    <row r="81" spans="1:16" s="625" customFormat="1">
      <c r="A81" s="643">
        <f t="shared" si="41"/>
        <v>8</v>
      </c>
      <c r="B81" s="643">
        <f t="shared" si="42"/>
        <v>4</v>
      </c>
      <c r="C81" s="643">
        <f t="shared" si="31"/>
        <v>1.9001444412368767E-2</v>
      </c>
      <c r="D81" s="643">
        <f t="shared" si="32"/>
        <v>4.2387637913814676E-2</v>
      </c>
      <c r="E81" s="643">
        <f t="shared" si="33"/>
        <v>23.183762333597588</v>
      </c>
      <c r="F81" s="643">
        <f t="shared" si="34"/>
        <v>19.710337666402406</v>
      </c>
      <c r="G81" s="643">
        <f t="shared" si="35"/>
        <v>-33.101068141119612</v>
      </c>
      <c r="H81" s="643">
        <f t="shared" si="36"/>
        <v>1.5324575385669486</v>
      </c>
      <c r="I81" s="643">
        <f t="shared" si="37"/>
        <v>36.433634027804715</v>
      </c>
      <c r="J81" s="643">
        <f t="shared" si="40"/>
        <v>69.570156751086273</v>
      </c>
      <c r="K81" s="670">
        <f t="shared" si="38"/>
        <v>88.674654570873088</v>
      </c>
      <c r="L81" s="670">
        <f t="shared" si="39"/>
        <v>69.570156751086273</v>
      </c>
    </row>
    <row r="82" spans="1:16" s="625" customFormat="1">
      <c r="A82" s="643">
        <f t="shared" si="41"/>
        <v>9</v>
      </c>
      <c r="B82" s="643">
        <f t="shared" si="42"/>
        <v>6</v>
      </c>
      <c r="C82" s="643">
        <f t="shared" si="31"/>
        <v>1.7510562016234618E-2</v>
      </c>
      <c r="D82" s="643">
        <f t="shared" si="32"/>
        <v>4.3024957356685448E-2</v>
      </c>
      <c r="E82" s="643">
        <f t="shared" si="33"/>
        <v>23.162505699214929</v>
      </c>
      <c r="F82" s="643">
        <f t="shared" si="34"/>
        <v>19.731594300785062</v>
      </c>
      <c r="G82" s="643">
        <f t="shared" si="35"/>
        <v>-33.094280220771722</v>
      </c>
      <c r="H82" s="643">
        <f t="shared" si="36"/>
        <v>1.4122185758076056</v>
      </c>
      <c r="I82" s="643">
        <f t="shared" si="37"/>
        <v>36.426846107456811</v>
      </c>
      <c r="J82" s="643">
        <f t="shared" si="40"/>
        <v>69.551244134240903</v>
      </c>
      <c r="K82" s="670">
        <f t="shared" si="38"/>
        <v>88.778261626292391</v>
      </c>
      <c r="L82" s="670">
        <f t="shared" si="39"/>
        <v>69.551244134240903</v>
      </c>
    </row>
    <row r="83" spans="1:16" s="625" customFormat="1">
      <c r="A83" s="643">
        <f t="shared" si="41"/>
        <v>10</v>
      </c>
      <c r="B83" s="643">
        <f t="shared" si="42"/>
        <v>8</v>
      </c>
      <c r="C83" s="643">
        <f t="shared" si="31"/>
        <v>1.5998345697578995E-2</v>
      </c>
      <c r="D83" s="643">
        <f t="shared" si="32"/>
        <v>4.3609857516503724E-2</v>
      </c>
      <c r="E83" s="643">
        <f t="shared" si="33"/>
        <v>23.132891537102708</v>
      </c>
      <c r="F83" s="643">
        <f t="shared" si="34"/>
        <v>19.761208462897294</v>
      </c>
      <c r="G83" s="643">
        <f t="shared" si="35"/>
        <v>-33.083048099904552</v>
      </c>
      <c r="H83" s="643">
        <f t="shared" si="36"/>
        <v>1.2902590422492368</v>
      </c>
      <c r="I83" s="643">
        <f t="shared" si="37"/>
        <v>36.415613986589655</v>
      </c>
      <c r="J83" s="643">
        <f t="shared" si="40"/>
        <v>69.523812970779417</v>
      </c>
      <c r="K83" s="670">
        <f t="shared" si="38"/>
        <v>88.883280801530162</v>
      </c>
      <c r="L83" s="670">
        <f t="shared" si="39"/>
        <v>69.523812970779417</v>
      </c>
    </row>
    <row r="84" spans="1:16" s="625" customFormat="1">
      <c r="A84" s="643">
        <f t="shared" si="41"/>
        <v>11</v>
      </c>
      <c r="B84" s="643">
        <f t="shared" si="42"/>
        <v>10</v>
      </c>
      <c r="C84" s="643">
        <f t="shared" si="31"/>
        <v>1.4466637859047102E-2</v>
      </c>
      <c r="D84" s="643">
        <f t="shared" si="32"/>
        <v>4.4141625782521704E-2</v>
      </c>
      <c r="E84" s="643">
        <f t="shared" si="33"/>
        <v>23.095064124481908</v>
      </c>
      <c r="F84" s="643">
        <f t="shared" si="34"/>
        <v>19.799035875518086</v>
      </c>
      <c r="G84" s="643">
        <f t="shared" si="35"/>
        <v>-33.067426500281925</v>
      </c>
      <c r="H84" s="643">
        <f t="shared" si="36"/>
        <v>1.166727526797056</v>
      </c>
      <c r="I84" s="643">
        <f t="shared" si="37"/>
        <v>36.399992386967021</v>
      </c>
      <c r="J84" s="643">
        <f t="shared" si="40"/>
        <v>69.487995476808109</v>
      </c>
      <c r="K84" s="670">
        <f t="shared" si="38"/>
        <v>88.98962739553545</v>
      </c>
      <c r="L84" s="670">
        <f t="shared" si="39"/>
        <v>69.487995476808109</v>
      </c>
    </row>
    <row r="85" spans="1:16" s="625" customFormat="1">
      <c r="A85" s="643">
        <f>A84+1</f>
        <v>12</v>
      </c>
      <c r="B85" s="643">
        <f t="shared" si="42"/>
        <v>12</v>
      </c>
      <c r="C85" s="643">
        <f t="shared" si="31"/>
        <v>1.2917304650698699E-2</v>
      </c>
      <c r="D85" s="643">
        <f t="shared" si="32"/>
        <v>4.4619614277019895E-2</v>
      </c>
      <c r="E85" s="643">
        <f t="shared" si="33"/>
        <v>23.049207752704444</v>
      </c>
      <c r="F85" s="643">
        <f t="shared" si="34"/>
        <v>19.844892247295558</v>
      </c>
      <c r="G85" s="643">
        <f t="shared" si="35"/>
        <v>-33.047491528766933</v>
      </c>
      <c r="H85" s="643">
        <f t="shared" si="36"/>
        <v>1.0417745335740718</v>
      </c>
      <c r="I85" s="643">
        <f t="shared" si="37"/>
        <v>36.380057415452029</v>
      </c>
      <c r="J85" s="643">
        <f>SQRT(G85^2+H85^2)+I85</f>
        <v>69.443965087152378</v>
      </c>
      <c r="K85" s="670">
        <f t="shared" si="38"/>
        <v>89.097215533973426</v>
      </c>
      <c r="L85" s="670">
        <f t="shared" si="39"/>
        <v>69.443965087152378</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0.62005874309649767</v>
      </c>
      <c r="C89" s="643">
        <f>$E$19*COS(B89*PI()/180)-$E$20*SIN(B89*PI()/180)</f>
        <v>2.1467435478402953E-2</v>
      </c>
      <c r="D89" s="643">
        <f>$E$19*SIN(B89*PI()/180)+$E$20*COS(B89*PI()/180)</f>
        <v>4.119363969898273E-2</v>
      </c>
      <c r="E89" s="643">
        <f>$E$22*COS(B89*PI()/180)^2+$E$23*SIN(B89*PI()/180)^2</f>
        <v>23.200419220690375</v>
      </c>
      <c r="F89" s="670">
        <f>$E$22*SIN(B89*PI()/180)^2+$E$23*COS(B89*PI()/180)^2</f>
        <v>19.693680779309627</v>
      </c>
      <c r="G89" s="643">
        <f>($E$18*(C89+$E$28)^2-$E$18*($E$21+$E$26)^2+$E$24-E89)/2</f>
        <v>-33.102355984184648</v>
      </c>
      <c r="H89" s="643">
        <f>$E$18*(C89+$E$28)*($E$21+$E$26)</f>
        <v>1.7313385560922754</v>
      </c>
      <c r="I89" s="643">
        <f>$E$18*((C89+$E$28)^2+($E$21+$E$26)^2)/2+$E$18*(D89+$E$27)^2+($E$24+E89)/2</f>
        <v>36.434921870869744</v>
      </c>
      <c r="J89" s="702">
        <f>SQRT(G89^2+H89^2)+I89</f>
        <v>69.582523667975622</v>
      </c>
      <c r="K89" s="659">
        <f>$E$18*((C89+$E$28)^2+($E$21+$E$26)^2)+F89</f>
        <v>65.856130618803221</v>
      </c>
      <c r="L89" s="659">
        <f>$E$18*(D89^2+($E$21+$E$26)^2)+E89</f>
        <v>69.537277855054398</v>
      </c>
      <c r="N89" s="643">
        <f>IF(G89=0,0,IF((PI()/2-ATAN2(H89,G89))/2*180/PI()&gt;90,(PI()/2-ATAN2(H89,G89))/2*180/PI()-180,(PI()/2-ATAN2(H89,G89))/2*180/PI()))</f>
        <v>88.503005556119575</v>
      </c>
      <c r="O89" s="643">
        <f>IF(G89=0,0,SQRT(G89^2+H89^2)*SIN(2*N89*PI()/180+ATAN2(H89,G89))+I89)</f>
        <v>69.582523667975622</v>
      </c>
      <c r="P89" s="703"/>
    </row>
    <row r="90" spans="1:16" s="625" customFormat="1" ht="14.25">
      <c r="A90" s="664" t="s">
        <v>1584</v>
      </c>
      <c r="B90" s="701">
        <f>N46</f>
        <v>91.970407760032188</v>
      </c>
      <c r="C90" s="643">
        <f>$E$19*COS(B90*PI()/180)-$E$20*SIN(B90*PI()/180)</f>
        <v>-4.1688098140670045E-2</v>
      </c>
      <c r="D90" s="670">
        <f>$E$19*SIN(B90*PI()/180)+$E$20*COS(B90*PI()/180)</f>
        <v>2.0490710360621053E-2</v>
      </c>
      <c r="E90" s="670">
        <f>$E$22*COS(B90*PI()/180)^2+$E$23*SIN(B90*PI()/180)^2</f>
        <v>19.697416683085873</v>
      </c>
      <c r="F90" s="643">
        <f>$E$22*SIN(B90*PI()/180)^2+$E$23*COS(B90*PI()/180)^2</f>
        <v>23.196683316914132</v>
      </c>
      <c r="G90" s="670">
        <f>($E$18*(C90+$E$28)^2-$E$18*($E$21+$E$26)^2+$E$24-E90)/2</f>
        <v>-31.260759067835416</v>
      </c>
      <c r="H90" s="670">
        <f>$E$18*(C90+$E$28)*($E$21+$E$26)</f>
        <v>-3.3621254720300766</v>
      </c>
      <c r="I90" s="670">
        <f>$E$18*((C90+$E$28)^2+($E$21+$E$26)^2)/2+$E$18*(D90+$E$27)^2+($E$24+E90)/2</f>
        <v>34.593324954520511</v>
      </c>
      <c r="J90" s="670">
        <f>SQRT(G90^2+H90^2)+I90</f>
        <v>66.034364141973072</v>
      </c>
      <c r="K90" s="702">
        <f>$E$18*((C90+$E$28)^2+($E$21+$E$26)^2)+F90</f>
        <v>69.539324451501699</v>
      </c>
      <c r="L90" s="659">
        <f>$E$18*(D90^2+($E$21+$E$26)^2)+E90</f>
        <v>65.854084022355934</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24</v>
      </c>
      <c r="J8" s="228">
        <f>+E6</f>
        <v>85</v>
      </c>
      <c r="K8" s="228">
        <f>+(C8-L6)/K6</f>
        <v>210.81699346405227</v>
      </c>
      <c r="L8" s="224"/>
      <c r="M8" s="228">
        <f>+(C8-N6)/M6</f>
        <v>210.44</v>
      </c>
    </row>
    <row r="9" spans="1:14">
      <c r="E9" s="213" t="s">
        <v>347</v>
      </c>
      <c r="F9" s="213">
        <v>1</v>
      </c>
      <c r="G9" s="213">
        <v>2</v>
      </c>
      <c r="H9" s="213">
        <v>3</v>
      </c>
    </row>
    <row r="10" spans="1:14">
      <c r="A10" s="226" t="s">
        <v>2191</v>
      </c>
      <c r="B10" s="228" t="s">
        <v>2192</v>
      </c>
      <c r="C10" s="224">
        <f>IF(H6=1,F10,IF(H6=2,$G10,IF(H6=3,H10,IF(H6="-",E10))))</f>
        <v>210.44</v>
      </c>
      <c r="E10" s="228">
        <f>VLOOKUP(Anal_Robot_Code,Table1,12,TRUE)</f>
        <v>210</v>
      </c>
      <c r="F10" s="224">
        <f>IF($C8&gt;$C6,0,IF($C8&gt;$D6,$K8,IF($C8&lt;=$D6,$M8,"NG")))</f>
        <v>210.44</v>
      </c>
      <c r="G10" s="224">
        <f>IF($C8&gt;$C6,0,IF($C8&gt;$D6,$K8,IF($C8&lt;=$D6,$F6,"NG")))</f>
        <v>210</v>
      </c>
      <c r="H10" s="224">
        <f>IF($C8&gt;$C6,0,IF($C8&gt;=0,$K8))</f>
        <v>210.81699346405227</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210.44</v>
      </c>
      <c r="K29" s="224">
        <f>VLOOKUP(Anal_Robot_Code,Table1,12,TRUE)</f>
        <v>210</v>
      </c>
      <c r="L29" s="224">
        <f>IF($C8&gt;$C36,0,IF($C8&gt;$D36,$K32,IF($C8&lt;=$D36,$M32,"NG")))</f>
        <v>210.44</v>
      </c>
      <c r="M29" s="224">
        <f>IF($C8&gt;$C36,0,IF($C8&gt;$D36,$K32,IF($C8&lt;=$D36,$F36,"NG")))</f>
        <v>210</v>
      </c>
      <c r="N29" s="224">
        <f>IF($C8&gt;$C36,0,IF($C8&gt;=0,$K32))</f>
        <v>210.81699346405227</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210.81699346405227</v>
      </c>
      <c r="L32" s="224"/>
      <c r="M32" s="224">
        <f>+(C8-N36)/M36</f>
        <v>210.44</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4.6451767863763808E-2</v>
      </c>
      <c r="P5" s="10"/>
      <c r="Q5" s="4" t="s">
        <v>91</v>
      </c>
      <c r="R5" s="10"/>
    </row>
    <row r="6" spans="1:18" ht="14.1" customHeight="1">
      <c r="B6" s="14" t="s">
        <v>427</v>
      </c>
      <c r="C6" s="72">
        <f>VLOOKUP($C$3,Table1,12)</f>
        <v>210</v>
      </c>
      <c r="D6" s="68">
        <f>HLOOKUP($C$4,$E$4:$H$12,3)</f>
        <v>141.1</v>
      </c>
      <c r="E6" s="68">
        <f>'Payload Input'!$E$18</f>
        <v>141.1</v>
      </c>
      <c r="F6" s="68">
        <f>'Payload Input'!$E$18</f>
        <v>141.1</v>
      </c>
      <c r="G6" s="147">
        <f>IF(('Misc Data'!$B$11=3),Anal_Input_1, 0)</f>
        <v>0</v>
      </c>
      <c r="H6" s="155">
        <f>I6</f>
        <v>0</v>
      </c>
      <c r="I6" s="156">
        <f>IF(('Misc Data'!$B$11=4),Anal_Input_1, 0)</f>
        <v>0</v>
      </c>
      <c r="J6" s="39"/>
      <c r="K6" s="51"/>
      <c r="L6" s="52"/>
      <c r="M6" s="400"/>
      <c r="N6" s="391" t="s">
        <v>840</v>
      </c>
      <c r="O6" s="52">
        <f>'Payload Input'!$E$21+'Payload Input'!$E$26</f>
        <v>0.57157710000000006</v>
      </c>
      <c r="Q6" s="31" t="s">
        <v>427</v>
      </c>
      <c r="R6" s="450">
        <f>D6</f>
        <v>141.1</v>
      </c>
    </row>
    <row r="7" spans="1:18" ht="14.1" customHeight="1">
      <c r="B7" s="14" t="s">
        <v>364</v>
      </c>
      <c r="C7" s="72">
        <f>VLOOKUP($C$3,Table1,6)</f>
        <v>1333</v>
      </c>
      <c r="D7" s="68">
        <f>IF(OR(Anal_Robot_Code=10111,Anal_Robot_Code=10214,Anal_Robot_Code=10215),"-",HLOOKUP($C$4,$E$4:$H$12,4))</f>
        <v>792.97116048581427</v>
      </c>
      <c r="E7" s="68">
        <f>'Payload Input'!$E$31</f>
        <v>792.97116048581427</v>
      </c>
      <c r="F7" s="68">
        <f>'Payload Input'!$E$31</f>
        <v>792.97116048581427</v>
      </c>
      <c r="G7" s="147">
        <f>IF(('Misc Data'!$B$11=3),Anal_Input_2, 0)</f>
        <v>0</v>
      </c>
      <c r="H7" s="155">
        <f>I7</f>
        <v>0</v>
      </c>
      <c r="I7" s="156">
        <f>IF(('Misc Data'!$B$11=4),Anal_Input_2, 0)</f>
        <v>0</v>
      </c>
      <c r="J7" s="39"/>
      <c r="K7" s="51" t="s">
        <v>1564</v>
      </c>
      <c r="L7" s="52">
        <f>D8*SIN(RADIANS(O10))</f>
        <v>64.232575566655314</v>
      </c>
      <c r="M7" s="39"/>
      <c r="N7" s="391" t="s">
        <v>3494</v>
      </c>
      <c r="O7" s="52">
        <f>DEGREES(IF(O6=0,0,ATAN2(O6,O5)))</f>
        <v>4.6461866452206362</v>
      </c>
      <c r="Q7" s="31" t="s">
        <v>364</v>
      </c>
      <c r="R7" s="31">
        <f>IF(Axis_Type&lt;&gt;2,D7,IF(Wrist_Down_Fix=1,L7,D8))</f>
        <v>792.97116048581427</v>
      </c>
    </row>
    <row r="8" spans="1:18" ht="14.1" customHeight="1">
      <c r="A8" s="4"/>
      <c r="B8" s="14" t="s">
        <v>365</v>
      </c>
      <c r="C8" s="72">
        <f>VLOOKUP($C$3,Table1,7)</f>
        <v>1333</v>
      </c>
      <c r="D8" s="68">
        <f>HLOOKUP($C$4,$E$4:$H$12,5)</f>
        <v>792.97116048581427</v>
      </c>
      <c r="E8" s="68">
        <f>'Payload Input'!$E$32</f>
        <v>792.97116048581427</v>
      </c>
      <c r="F8" s="68">
        <f>'Payload Input'!$E$32</f>
        <v>792.97116048581427</v>
      </c>
      <c r="G8" s="147">
        <f>IF(('Misc Data'!$B$11=3),Anal_Input_3, 0)</f>
        <v>0</v>
      </c>
      <c r="H8" s="155">
        <f>I8</f>
        <v>0</v>
      </c>
      <c r="I8" s="156">
        <f>IF(('Misc Data'!$B$11=4),Anal_Input_3, 0)</f>
        <v>0</v>
      </c>
      <c r="J8" s="39"/>
      <c r="K8" s="51" t="s">
        <v>3182</v>
      </c>
      <c r="L8" s="52">
        <f>D9*SIN(RADIANS(L5))</f>
        <v>0</v>
      </c>
      <c r="M8" s="39"/>
      <c r="N8" s="391" t="s">
        <v>1493</v>
      </c>
      <c r="O8" s="52">
        <f>O7+L5</f>
        <v>4.6461866452206362</v>
      </c>
      <c r="Q8" s="31" t="s">
        <v>365</v>
      </c>
      <c r="R8" s="31">
        <f>IF(Axis_Type&lt;&gt;2,D8,IF(Wrist_Down_Fix=1,L8,D9))</f>
        <v>792.97116048581427</v>
      </c>
    </row>
    <row r="9" spans="1:18" ht="14.1" customHeight="1">
      <c r="B9" s="14" t="s">
        <v>366</v>
      </c>
      <c r="C9" s="72">
        <f>VLOOKUP($C$3,Table1,8)</f>
        <v>706</v>
      </c>
      <c r="D9" s="68">
        <f>HLOOKUP($C$4,$E$4:$H$12,6)</f>
        <v>64.232575566655314</v>
      </c>
      <c r="E9" s="68">
        <f>'Payload Input'!$E$33</f>
        <v>64.232575566655314</v>
      </c>
      <c r="F9" s="68">
        <f>'Payload Input'!$E$33</f>
        <v>64.232575566655314</v>
      </c>
      <c r="G9" s="147">
        <f>IF(('Misc Data'!$B$11=3),Anal_Input_4, 0)</f>
        <v>0</v>
      </c>
      <c r="H9" s="155">
        <f>I9</f>
        <v>0</v>
      </c>
      <c r="I9" s="156">
        <f>IF(('Misc Data'!$B$11=4),Anal_Input_4, 0)</f>
        <v>0</v>
      </c>
      <c r="J9" s="39"/>
      <c r="K9" s="51"/>
      <c r="L9" s="52"/>
      <c r="M9" s="39"/>
      <c r="N9" s="391" t="s">
        <v>2815</v>
      </c>
      <c r="O9" s="52">
        <f>O7-L5</f>
        <v>4.6461866452206362</v>
      </c>
      <c r="Q9" s="31" t="s">
        <v>366</v>
      </c>
      <c r="R9" s="31">
        <f>IF(Axis_Count=1,0,D9)</f>
        <v>64.232575566655314</v>
      </c>
    </row>
    <row r="10" spans="1:18" ht="14.1" customHeight="1" thickBot="1">
      <c r="B10" s="14" t="s">
        <v>1914</v>
      </c>
      <c r="C10" s="72">
        <f>VLOOKUP($C$3,Table1,9)</f>
        <v>141.1</v>
      </c>
      <c r="D10" s="68">
        <f>HLOOKUP($C$4,$E$4:$H$12,7)</f>
        <v>69.582523667975622</v>
      </c>
      <c r="E10" s="68">
        <f>'Payload Input'!$E$36</f>
        <v>69.582523667975622</v>
      </c>
      <c r="F10" s="68">
        <f>'Payload Input'!$E$36</f>
        <v>69.582523667975622</v>
      </c>
      <c r="G10" s="147">
        <f>IF(('Misc Data'!$B$11=3),Anal_Input_5, 0)</f>
        <v>0</v>
      </c>
      <c r="H10" s="155">
        <f>I10/H13</f>
        <v>0</v>
      </c>
      <c r="I10" s="156">
        <f>IF(('Misc Data'!$B$11=4),Anal_Input_5, 0)</f>
        <v>0</v>
      </c>
      <c r="J10" s="39"/>
      <c r="K10" s="51" t="s">
        <v>1599</v>
      </c>
      <c r="L10" s="392">
        <f>D11</f>
        <v>69.539324451501699</v>
      </c>
      <c r="M10" s="39"/>
      <c r="N10" s="453" t="s">
        <v>882</v>
      </c>
      <c r="O10" s="54">
        <f>IF(O9&lt;=90,IF(90&lt;=O8,90,O8),O9)</f>
        <v>4.6461866452206362</v>
      </c>
      <c r="Q10" s="31" t="s">
        <v>1914</v>
      </c>
      <c r="R10" s="31">
        <f>IF(Axis_Type&lt;&gt;2,D10,IF(Wrist_Down_Fix=1,L10,D11))</f>
        <v>69.582523667975622</v>
      </c>
    </row>
    <row r="11" spans="1:18" ht="14.1" customHeight="1">
      <c r="B11" s="14" t="s">
        <v>1915</v>
      </c>
      <c r="C11" s="72">
        <f>VLOOKUP($C$3,Table1,10)</f>
        <v>141.1</v>
      </c>
      <c r="D11" s="68">
        <f>HLOOKUP($C$4,$E$4:$H$12,8)</f>
        <v>69.539324451501699</v>
      </c>
      <c r="E11" s="68">
        <f>'Payload Input'!$E$37</f>
        <v>69.539324451501699</v>
      </c>
      <c r="F11" s="68">
        <f>'Payload Input'!$E$37</f>
        <v>69.539324451501699</v>
      </c>
      <c r="G11" s="147">
        <f>IF(('Misc Data'!$B$11=3),Anal_Input_6, 0)</f>
        <v>0</v>
      </c>
      <c r="H11" s="155">
        <f>I11/H13</f>
        <v>0</v>
      </c>
      <c r="I11" s="156">
        <f>IF(('Misc Data'!$B$11=4),Anal_Input_6, 0)</f>
        <v>0</v>
      </c>
      <c r="J11" s="39"/>
      <c r="K11" s="51" t="s">
        <v>1060</v>
      </c>
      <c r="L11" s="392">
        <f>D12</f>
        <v>3.3325658866850958</v>
      </c>
      <c r="M11" s="39"/>
      <c r="N11" s="151"/>
      <c r="Q11" s="31" t="s">
        <v>1915</v>
      </c>
      <c r="R11" s="31">
        <f>IF(Axis_Type&lt;&gt;2,D11,IF(Wrist_Down_Fix=1,L11,D12))</f>
        <v>69.539324451501699</v>
      </c>
    </row>
    <row r="12" spans="1:18" s="19" customFormat="1" ht="14.1" customHeight="1" thickBot="1">
      <c r="A12" s="5"/>
      <c r="B12" s="16" t="s">
        <v>554</v>
      </c>
      <c r="C12" s="73">
        <f>VLOOKUP($C$3,Table1,11)</f>
        <v>78.400000000000006</v>
      </c>
      <c r="D12" s="88">
        <f>HLOOKUP($C$4,$E$4:$H$12,9)</f>
        <v>3.3325658866850958</v>
      </c>
      <c r="E12" s="69">
        <f>'Payload Input'!$E$38</f>
        <v>3.3325658866850958</v>
      </c>
      <c r="F12" s="69">
        <f>'Payload Input'!$E$38</f>
        <v>3.3325658866850958</v>
      </c>
      <c r="G12" s="148">
        <f>IF(('Misc Data'!$B$11=3),Anal_Input_7, 0)</f>
        <v>0</v>
      </c>
      <c r="H12" s="157">
        <f>I12/H13</f>
        <v>0</v>
      </c>
      <c r="I12" s="158">
        <f>IF(('Misc Data'!$B$11=4),Anal_Input_7, 0)</f>
        <v>0</v>
      </c>
      <c r="J12" s="32"/>
      <c r="K12" s="53"/>
      <c r="L12" s="393"/>
      <c r="M12" s="5"/>
      <c r="N12" s="151"/>
      <c r="O12" s="5"/>
      <c r="P12" s="5"/>
      <c r="Q12" s="31" t="s">
        <v>554</v>
      </c>
      <c r="R12" s="31">
        <f>IF(Axis_Count=1,0,D12)</f>
        <v>3.3325658866850958</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67.099999999999994</v>
      </c>
      <c r="F20" s="39"/>
      <c r="I20" s="151"/>
      <c r="J20" s="39"/>
      <c r="K20" s="35"/>
      <c r="L20" s="400"/>
      <c r="M20" s="39"/>
      <c r="O20" s="400"/>
      <c r="Q20" s="31" t="s">
        <v>310</v>
      </c>
      <c r="R20" s="387">
        <f>D20</f>
        <v>67.099999999999994</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59</v>
      </c>
      <c r="E22" s="341">
        <f>TRUNC(D8/$C$7*100,0)</f>
        <v>59</v>
      </c>
      <c r="F22" s="341">
        <f>TRUNC(L7/$C$7*100,0)</f>
        <v>4</v>
      </c>
      <c r="G22" s="39"/>
      <c r="H22" s="39"/>
      <c r="I22" s="458" t="s">
        <v>493</v>
      </c>
      <c r="J22" s="39"/>
      <c r="K22" s="39"/>
      <c r="L22" s="455"/>
      <c r="M22" s="39"/>
      <c r="N22" s="337"/>
      <c r="O22" s="400"/>
      <c r="P22" s="39"/>
      <c r="Q22" s="55" t="s">
        <v>490</v>
      </c>
      <c r="R22" s="397">
        <f>IF(OR(Anal_Robot_Code=10111,Anal_Robot_Code=10214,Anal_Robot_Code=10215),I22,IF(Axis_Type&lt;&gt;2,D22,IF(Wrist_Down_Fix=1,F22,E22)))</f>
        <v>59</v>
      </c>
    </row>
    <row r="23" spans="1:18" s="4" customFormat="1" ht="14.1" customHeight="1">
      <c r="A23" s="5"/>
      <c r="B23" s="14" t="s">
        <v>491</v>
      </c>
      <c r="C23" s="65"/>
      <c r="D23" s="340">
        <f>IF(Wrist_Down_Fix=1,IF(C8&lt;D8,101,0),TRUNC(D8/$C$8*100,0))</f>
        <v>59</v>
      </c>
      <c r="E23" s="341">
        <f>TRUNC(D9/$C$8*100,0)</f>
        <v>4</v>
      </c>
      <c r="F23" s="341">
        <v>0</v>
      </c>
      <c r="G23" s="458" t="str">
        <f>IF(D23=0,"-","∞")</f>
        <v>∞</v>
      </c>
      <c r="H23" s="39"/>
      <c r="I23" s="39"/>
      <c r="J23" s="39"/>
      <c r="K23" s="39"/>
      <c r="L23" s="455"/>
      <c r="M23" s="39"/>
      <c r="N23" s="39"/>
      <c r="O23" s="400"/>
      <c r="P23" s="39"/>
      <c r="Q23" s="56" t="s">
        <v>491</v>
      </c>
      <c r="R23" s="459">
        <f>IF(Axis_Type&lt;&gt;2,IF(Wrist_Down_Fix=1,G23,D23),IF(Wrist_Down_Fix=1,F23,E23))</f>
        <v>59</v>
      </c>
    </row>
    <row r="24" spans="1:18" ht="14.1" customHeight="1" thickBot="1">
      <c r="B24" s="16" t="s">
        <v>492</v>
      </c>
      <c r="C24" s="66"/>
      <c r="D24" s="323">
        <f>TRUNC(D9/$C$9*100,0)</f>
        <v>9</v>
      </c>
      <c r="F24" s="39"/>
      <c r="G24" s="39"/>
      <c r="H24" s="39"/>
      <c r="I24" s="39"/>
      <c r="J24" s="39"/>
      <c r="K24" s="39"/>
      <c r="L24" s="455"/>
      <c r="M24" s="39"/>
      <c r="N24" s="414"/>
      <c r="O24" s="400"/>
      <c r="P24" s="39"/>
      <c r="Q24" s="48" t="s">
        <v>492</v>
      </c>
      <c r="R24" s="397">
        <f>IF(Axis_Count=1,0,D24)</f>
        <v>9</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49.4</v>
      </c>
      <c r="E26" s="341">
        <f>ROUNDUP(D11/$C10*100,1)</f>
        <v>49.300000000000004</v>
      </c>
      <c r="F26" s="341">
        <f>ROUNDUP(L10/$C$10*100,1)</f>
        <v>49.300000000000004</v>
      </c>
      <c r="G26" s="39"/>
      <c r="H26" s="39"/>
      <c r="I26" s="39"/>
      <c r="J26" s="39"/>
      <c r="K26" s="39"/>
      <c r="L26" s="455"/>
      <c r="M26" s="39"/>
      <c r="N26" s="39"/>
      <c r="O26" s="400"/>
      <c r="P26" s="39"/>
      <c r="Q26" s="55" t="s">
        <v>490</v>
      </c>
      <c r="R26" s="397">
        <f>IF(Axis_Type&lt;&gt;2,D26,IF(Wrist_Down_Fix=1,F26,E26))</f>
        <v>49.4</v>
      </c>
    </row>
    <row r="27" spans="1:18" ht="14.1" customHeight="1">
      <c r="B27" s="14" t="s">
        <v>491</v>
      </c>
      <c r="C27" s="65">
        <f>ROUND(C11/$G74*100,)</f>
        <v>66</v>
      </c>
      <c r="D27" s="340">
        <f>ROUNDUP(D11/$C11*100,1)</f>
        <v>49.300000000000004</v>
      </c>
      <c r="E27" s="341">
        <f>ROUNDUP(D12/$C11*100,1)</f>
        <v>2.4</v>
      </c>
      <c r="F27" s="341">
        <f>ROUNDUP(L11/$C11*100,1)</f>
        <v>2.4</v>
      </c>
      <c r="G27" s="39"/>
      <c r="H27" s="39"/>
      <c r="I27" s="39"/>
      <c r="J27" s="39"/>
      <c r="K27" s="39"/>
      <c r="L27" s="455"/>
      <c r="M27" s="39"/>
      <c r="N27" s="39"/>
      <c r="O27" s="400"/>
      <c r="P27" s="39"/>
      <c r="Q27" s="56" t="s">
        <v>491</v>
      </c>
      <c r="R27" s="397">
        <f>IF(Axis_Type&lt;&gt;2,D27,IF(Wrist_Down_Fix=1,F27,E27))</f>
        <v>49.300000000000004</v>
      </c>
    </row>
    <row r="28" spans="1:18" s="19" customFormat="1" ht="14.1" customHeight="1" thickBot="1">
      <c r="A28" s="5"/>
      <c r="B28" s="16" t="s">
        <v>492</v>
      </c>
      <c r="C28" s="66">
        <f>ROUND(C12/$G75*100,)</f>
        <v>76</v>
      </c>
      <c r="D28" s="323">
        <f>ROUNDUP(D12/$C12*100,1)</f>
        <v>4.3</v>
      </c>
      <c r="E28" s="5"/>
      <c r="F28" s="39"/>
      <c r="G28" s="5"/>
      <c r="H28" s="5"/>
      <c r="I28" s="5"/>
      <c r="J28" s="39"/>
      <c r="K28" s="39"/>
      <c r="L28" s="455"/>
      <c r="M28" s="39"/>
      <c r="N28" s="5"/>
      <c r="O28" s="5"/>
      <c r="P28" s="5"/>
      <c r="Q28" s="48" t="s">
        <v>492</v>
      </c>
      <c r="R28" s="398">
        <f>IF(Axis_Count=1,0,D28)</f>
        <v>4.3</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1078.2595075245142</v>
      </c>
      <c r="E65" s="362">
        <f>D8+(D11*$D$73)</f>
        <v>1078.0823907369713</v>
      </c>
      <c r="F65" s="135"/>
      <c r="G65" s="135"/>
      <c r="J65" s="39"/>
      <c r="K65" s="400"/>
      <c r="L65" s="135"/>
      <c r="M65" s="135"/>
      <c r="N65" s="39"/>
    </row>
    <row r="66" spans="1:18" s="4" customFormat="1" ht="14.1" customHeight="1">
      <c r="A66" s="5"/>
      <c r="B66" s="37" t="s">
        <v>491</v>
      </c>
      <c r="C66" s="38">
        <f xml:space="preserve"> C8+(C11*$D$74)</f>
        <v>1726.6689999999999</v>
      </c>
      <c r="D66" s="38">
        <f xml:space="preserve"> D8+(D11*$D$74)</f>
        <v>986.98587570550399</v>
      </c>
      <c r="E66" s="362">
        <f xml:space="preserve"> D9+(D12*$D$74)</f>
        <v>73.530434390506727</v>
      </c>
      <c r="F66" s="135"/>
      <c r="G66" s="135"/>
      <c r="H66" s="5"/>
      <c r="I66" s="5"/>
      <c r="J66" s="39"/>
      <c r="K66" s="400"/>
      <c r="L66" s="135"/>
      <c r="M66" s="135"/>
      <c r="N66" s="39"/>
      <c r="O66" s="5"/>
      <c r="P66" s="5"/>
      <c r="Q66" s="5"/>
      <c r="R66" s="5"/>
    </row>
    <row r="67" spans="1:18" ht="14.1" customHeight="1">
      <c r="B67" s="37" t="s">
        <v>492</v>
      </c>
      <c r="C67" s="38">
        <f>C9+(C12*$D$75)</f>
        <v>935.71199999999999</v>
      </c>
      <c r="D67" s="38">
        <f>D9+(D12*$D$75)</f>
        <v>73.996993614642648</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141.1</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2.1909999999999998</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4.0960000000000001</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33.658000000000001</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236.74299999999999</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200.952</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30.899000000000001</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67.099999999999994</v>
      </c>
      <c r="D9" s="3">
        <v>0</v>
      </c>
      <c r="E9" s="3">
        <f>IF(H9&gt;$F$8, $F$8-$E$8, IF(H9&gt;$E$8, H9-$E$8, 0))</f>
        <v>0</v>
      </c>
      <c r="F9" s="3">
        <f>IF(H9&gt;$F$8, H9-$F$8, 0)</f>
        <v>0</v>
      </c>
      <c r="H9" s="3">
        <f>'Wrist Load Analysis'!R20</f>
        <v>67.099999999999994</v>
      </c>
    </row>
    <row r="11" spans="1:8">
      <c r="A11" s="3" t="s">
        <v>348</v>
      </c>
      <c r="B11" s="3" t="s">
        <v>2344</v>
      </c>
      <c r="C11" s="3">
        <f>IF(H11&gt;$E$8, $E$8, H11)</f>
        <v>59</v>
      </c>
      <c r="D11" s="3">
        <v>0</v>
      </c>
      <c r="E11" s="3">
        <f>IF(H11&gt;$F$8, $F$8-$E$8, IF(H11&gt;$E$8, H11-$E$8, 0))</f>
        <v>0</v>
      </c>
      <c r="F11" s="3">
        <f>IF(H11&gt;$F$8, H11-$F$8, 0)</f>
        <v>0</v>
      </c>
      <c r="H11" s="3">
        <f>IF(Anal_Robot_Code=10111,0,'Wrist Load Analysis'!R22)</f>
        <v>59</v>
      </c>
    </row>
    <row r="12" spans="1:8">
      <c r="B12" s="3" t="s">
        <v>1618</v>
      </c>
      <c r="C12" s="3">
        <f>IF(H12&gt;$E$8, $E$8, H12)</f>
        <v>59</v>
      </c>
      <c r="D12" s="3">
        <v>0</v>
      </c>
      <c r="E12" s="3">
        <f>IF(H12&gt;$F$8, $F$8-$E$8, IF(H12&gt;$E$8, H12-$E$8, 0))</f>
        <v>0</v>
      </c>
      <c r="F12" s="3">
        <f>IF(H12&gt;$F$8, H12-$F$8, 0)</f>
        <v>0</v>
      </c>
      <c r="H12" s="3">
        <f>'Wrist Load Analysis'!R23</f>
        <v>59</v>
      </c>
    </row>
    <row r="13" spans="1:8">
      <c r="B13" s="3" t="str">
        <f>IF(Axis_Count=1,"","J6")</f>
        <v>J6</v>
      </c>
      <c r="C13" s="3">
        <f>IF(H13&gt;$E$8, $E$8, H13)</f>
        <v>9</v>
      </c>
      <c r="D13" s="3">
        <v>0</v>
      </c>
      <c r="E13" s="3">
        <f>IF(H13&gt;$F$8, $F$8-$E$8, IF(H13&gt;$E$8, H13-$E$8, 0))</f>
        <v>0</v>
      </c>
      <c r="F13" s="3">
        <f>IF(H13&gt;$F$8, H13-$F$8, 0)</f>
        <v>0</v>
      </c>
      <c r="H13" s="3">
        <f>'Wrist Load Analysis'!R24</f>
        <v>9</v>
      </c>
    </row>
    <row r="15" spans="1:8">
      <c r="A15" s="3" t="s">
        <v>488</v>
      </c>
      <c r="B15" s="3" t="s">
        <v>2344</v>
      </c>
      <c r="C15" s="3">
        <f>IF(H15&gt;E8, E8, H15)</f>
        <v>49.4</v>
      </c>
      <c r="D15" s="3">
        <v>0</v>
      </c>
      <c r="E15" s="3">
        <f>IF(H15&gt;$F$8, $F$8-$E$8, IF(H15&gt;$E$8, H15-$E$8, 0))</f>
        <v>0</v>
      </c>
      <c r="F15" s="3">
        <f>IF(H15&gt;$F$8, H15-$F$8, 0)</f>
        <v>0</v>
      </c>
      <c r="H15" s="3">
        <f>'Wrist Load Analysis'!R26</f>
        <v>49.4</v>
      </c>
    </row>
    <row r="16" spans="1:8">
      <c r="B16" s="3" t="s">
        <v>1618</v>
      </c>
      <c r="C16" s="3">
        <f>IF(H16&gt;E8, E8, H16)</f>
        <v>49.300000000000004</v>
      </c>
      <c r="D16" s="3">
        <v>0</v>
      </c>
      <c r="E16" s="3">
        <f>IF(H16&gt;$F$8, $F$8-$E$8, IF(H16&gt;$E$8, H16-$E$8, 0))</f>
        <v>0</v>
      </c>
      <c r="F16" s="3">
        <f>IF(H16&gt;$F$8, H16-$F$8, 0)</f>
        <v>0</v>
      </c>
      <c r="H16" s="3">
        <f>'Wrist Load Analysis'!R27</f>
        <v>49.300000000000004</v>
      </c>
    </row>
    <row r="17" spans="1:16">
      <c r="B17" s="3" t="str">
        <f>IF(Axis_Count=1,"","J6")</f>
        <v>J6</v>
      </c>
      <c r="C17" s="3">
        <f>IF(H17&gt;E8, E8, H17)</f>
        <v>4.3</v>
      </c>
      <c r="D17" s="3">
        <v>0</v>
      </c>
      <c r="E17" s="3">
        <f>IF(H17&gt;$F$8, $F$8-$E$8, IF(H17&gt;$E$8, H17-$E$8, 0))</f>
        <v>0</v>
      </c>
      <c r="F17" s="3">
        <f>IF(H17&gt;$F$8, H17-$F$8, 0)</f>
        <v>0</v>
      </c>
      <c r="H17" s="3">
        <f>'Wrist Load Analysis'!R28</f>
        <v>4.3</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792.97116048581427</v>
      </c>
      <c r="G25" s="209">
        <f>'Wrist Load Analysis'!R10</f>
        <v>69.582523667975622</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792.97116048581427</v>
      </c>
      <c r="G29" s="209">
        <f>'Wrist Load Analysis'!R11</f>
        <v>69.539324451501699</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64.232575566655314</v>
      </c>
      <c r="G33" s="209">
        <f>'Wrist Load Analysis'!R12</f>
        <v>3.3325658866850958</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9"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1000"/>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1" t="str">
        <f>Coordinates!B1</f>
        <v>Coordinates</v>
      </c>
      <c r="C19" s="1002"/>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3" t="s">
        <v>4023</v>
      </c>
      <c r="C20" s="1004"/>
      <c r="D20" s="575" t="str">
        <f>IF(multi_PL_flg=0,"CofG-SI",IF(multi_PL_flg=1,"Box",""))</f>
        <v>CofG-SI</v>
      </c>
      <c r="E20" s="576"/>
      <c r="F20" s="576"/>
      <c r="G20" s="576"/>
      <c r="H20" s="996" t="s">
        <v>4026</v>
      </c>
      <c r="I20" s="997"/>
      <c r="J20" s="998"/>
      <c r="K20" s="996" t="s">
        <v>4027</v>
      </c>
      <c r="L20" s="997"/>
      <c r="M20" s="997"/>
      <c r="N20" s="998"/>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5">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6"/>
      <c r="C4" s="1008" t="s">
        <v>1550</v>
      </c>
      <c r="D4" s="586">
        <v>1</v>
      </c>
      <c r="E4" s="728"/>
      <c r="F4" s="587"/>
      <c r="G4" s="587"/>
      <c r="H4" s="587"/>
      <c r="I4" s="587"/>
      <c r="J4" s="587"/>
      <c r="K4" s="587"/>
      <c r="L4" s="588"/>
      <c r="M4" s="610"/>
    </row>
    <row r="5" spans="2:13" ht="12.75" customHeight="1">
      <c r="B5" s="1006"/>
      <c r="C5" s="1009"/>
      <c r="D5" s="586">
        <v>2</v>
      </c>
      <c r="E5" s="728"/>
      <c r="F5" s="587"/>
      <c r="G5" s="587"/>
      <c r="H5" s="587"/>
      <c r="I5" s="587"/>
      <c r="J5" s="587"/>
      <c r="K5" s="587"/>
      <c r="L5" s="588"/>
      <c r="M5" s="610"/>
    </row>
    <row r="6" spans="2:13" ht="12.75" customHeight="1">
      <c r="B6" s="1006"/>
      <c r="C6" s="1009"/>
      <c r="D6" s="586">
        <v>3</v>
      </c>
      <c r="E6" s="728"/>
      <c r="F6" s="587"/>
      <c r="G6" s="587"/>
      <c r="H6" s="587"/>
      <c r="I6" s="587"/>
      <c r="J6" s="587"/>
      <c r="K6" s="587"/>
      <c r="L6" s="588"/>
      <c r="M6" s="610"/>
    </row>
    <row r="7" spans="2:13" ht="12.75" customHeight="1">
      <c r="B7" s="1006"/>
      <c r="C7" s="1009"/>
      <c r="D7" s="586">
        <v>4</v>
      </c>
      <c r="E7" s="728"/>
      <c r="F7" s="587"/>
      <c r="G7" s="587"/>
      <c r="H7" s="587"/>
      <c r="I7" s="587"/>
      <c r="J7" s="587"/>
      <c r="K7" s="587"/>
      <c r="L7" s="588"/>
      <c r="M7" s="610"/>
    </row>
    <row r="8" spans="2:13" ht="12.75" customHeight="1">
      <c r="B8" s="1006"/>
      <c r="C8" s="1009"/>
      <c r="D8" s="586">
        <v>5</v>
      </c>
      <c r="E8" s="728"/>
      <c r="F8" s="587"/>
      <c r="G8" s="587"/>
      <c r="H8" s="587"/>
      <c r="I8" s="587"/>
      <c r="J8" s="587"/>
      <c r="K8" s="587"/>
      <c r="L8" s="588"/>
      <c r="M8" s="610"/>
    </row>
    <row r="9" spans="2:13" ht="12.75" customHeight="1">
      <c r="B9" s="1006"/>
      <c r="C9" s="1009"/>
      <c r="D9" s="586">
        <v>6</v>
      </c>
      <c r="E9" s="728"/>
      <c r="F9" s="587"/>
      <c r="G9" s="587"/>
      <c r="H9" s="587"/>
      <c r="I9" s="587"/>
      <c r="J9" s="587"/>
      <c r="K9" s="587"/>
      <c r="L9" s="588"/>
      <c r="M9" s="610"/>
    </row>
    <row r="10" spans="2:13" ht="12.75" customHeight="1">
      <c r="B10" s="1006"/>
      <c r="C10" s="1009"/>
      <c r="D10" s="586">
        <v>7</v>
      </c>
      <c r="E10" s="728"/>
      <c r="F10" s="587"/>
      <c r="G10" s="587"/>
      <c r="H10" s="587"/>
      <c r="I10" s="587"/>
      <c r="J10" s="587"/>
      <c r="K10" s="587"/>
      <c r="L10" s="588"/>
      <c r="M10" s="610"/>
    </row>
    <row r="11" spans="2:13" ht="12.75" customHeight="1">
      <c r="B11" s="1006"/>
      <c r="C11" s="1009"/>
      <c r="D11" s="586">
        <v>8</v>
      </c>
      <c r="E11" s="728"/>
      <c r="F11" s="587"/>
      <c r="G11" s="587"/>
      <c r="H11" s="587"/>
      <c r="I11" s="587"/>
      <c r="J11" s="587"/>
      <c r="K11" s="587"/>
      <c r="L11" s="588"/>
      <c r="M11" s="610"/>
    </row>
    <row r="12" spans="2:13" ht="12.75" customHeight="1">
      <c r="B12" s="1006"/>
      <c r="C12" s="1009"/>
      <c r="D12" s="586">
        <v>9</v>
      </c>
      <c r="E12" s="728"/>
      <c r="F12" s="587"/>
      <c r="G12" s="587"/>
      <c r="H12" s="587"/>
      <c r="I12" s="587"/>
      <c r="J12" s="587"/>
      <c r="K12" s="587"/>
      <c r="L12" s="588"/>
      <c r="M12" s="610"/>
    </row>
    <row r="13" spans="2:13" ht="12.75" customHeight="1">
      <c r="B13" s="1006"/>
      <c r="C13" s="1009"/>
      <c r="D13" s="80">
        <v>10</v>
      </c>
      <c r="E13" s="729"/>
      <c r="F13" s="589"/>
      <c r="G13" s="589"/>
      <c r="H13" s="589"/>
      <c r="I13" s="589"/>
      <c r="J13" s="589"/>
      <c r="K13" s="589"/>
      <c r="L13" s="590"/>
      <c r="M13" s="610"/>
    </row>
    <row r="14" spans="2:13" ht="13.5" customHeight="1" thickBot="1">
      <c r="B14" s="1007"/>
      <c r="C14" s="1011"/>
      <c r="D14" s="591" t="s">
        <v>4022</v>
      </c>
      <c r="E14" s="730"/>
      <c r="F14" s="592"/>
      <c r="G14" s="592"/>
      <c r="H14" s="592"/>
      <c r="I14" s="592"/>
      <c r="J14" s="592"/>
      <c r="K14" s="592"/>
      <c r="L14" s="593"/>
      <c r="M14" s="610"/>
    </row>
    <row r="15" spans="2:13" ht="15" customHeight="1">
      <c r="B15" s="1005">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6"/>
      <c r="C16" s="1008"/>
      <c r="D16" s="586">
        <v>1</v>
      </c>
      <c r="E16" s="728"/>
      <c r="F16" s="587"/>
      <c r="G16" s="587"/>
      <c r="H16" s="587"/>
      <c r="I16" s="587"/>
      <c r="J16" s="587"/>
      <c r="K16" s="587"/>
      <c r="L16" s="588"/>
      <c r="M16" s="610"/>
    </row>
    <row r="17" spans="2:13" ht="12.75" customHeight="1">
      <c r="B17" s="1006"/>
      <c r="C17" s="1009"/>
      <c r="D17" s="586">
        <v>2</v>
      </c>
      <c r="E17" s="728"/>
      <c r="F17" s="587"/>
      <c r="G17" s="587"/>
      <c r="H17" s="587"/>
      <c r="I17" s="587"/>
      <c r="J17" s="587"/>
      <c r="K17" s="587"/>
      <c r="L17" s="588"/>
      <c r="M17" s="610"/>
    </row>
    <row r="18" spans="2:13" ht="12.75" customHeight="1">
      <c r="B18" s="1006"/>
      <c r="C18" s="1009"/>
      <c r="D18" s="586">
        <v>3</v>
      </c>
      <c r="E18" s="728"/>
      <c r="F18" s="587"/>
      <c r="G18" s="587"/>
      <c r="H18" s="587"/>
      <c r="I18" s="587"/>
      <c r="J18" s="587"/>
      <c r="K18" s="587"/>
      <c r="L18" s="588"/>
      <c r="M18" s="610"/>
    </row>
    <row r="19" spans="2:13" ht="12.75" customHeight="1">
      <c r="B19" s="1006"/>
      <c r="C19" s="1009"/>
      <c r="D19" s="586">
        <v>4</v>
      </c>
      <c r="E19" s="728"/>
      <c r="F19" s="587"/>
      <c r="G19" s="587"/>
      <c r="H19" s="587"/>
      <c r="I19" s="587"/>
      <c r="J19" s="587"/>
      <c r="K19" s="587"/>
      <c r="L19" s="588"/>
      <c r="M19" s="610"/>
    </row>
    <row r="20" spans="2:13" ht="12.75" customHeight="1">
      <c r="B20" s="1006"/>
      <c r="C20" s="1009"/>
      <c r="D20" s="586">
        <v>5</v>
      </c>
      <c r="E20" s="728"/>
      <c r="F20" s="587"/>
      <c r="G20" s="587"/>
      <c r="H20" s="587"/>
      <c r="I20" s="587"/>
      <c r="J20" s="587"/>
      <c r="K20" s="587"/>
      <c r="L20" s="588"/>
      <c r="M20" s="610"/>
    </row>
    <row r="21" spans="2:13" ht="12.75" customHeight="1">
      <c r="B21" s="1006"/>
      <c r="C21" s="1009"/>
      <c r="D21" s="586">
        <v>6</v>
      </c>
      <c r="E21" s="728"/>
      <c r="F21" s="587"/>
      <c r="G21" s="587"/>
      <c r="H21" s="587"/>
      <c r="I21" s="587"/>
      <c r="J21" s="587"/>
      <c r="K21" s="587"/>
      <c r="L21" s="588"/>
      <c r="M21" s="610"/>
    </row>
    <row r="22" spans="2:13" ht="12.75" customHeight="1">
      <c r="B22" s="1006"/>
      <c r="C22" s="1009"/>
      <c r="D22" s="586">
        <v>7</v>
      </c>
      <c r="E22" s="728"/>
      <c r="F22" s="587"/>
      <c r="G22" s="587"/>
      <c r="H22" s="587"/>
      <c r="I22" s="587"/>
      <c r="J22" s="587"/>
      <c r="K22" s="587"/>
      <c r="L22" s="588"/>
      <c r="M22" s="610"/>
    </row>
    <row r="23" spans="2:13" ht="12.75" customHeight="1">
      <c r="B23" s="1006"/>
      <c r="C23" s="1009"/>
      <c r="D23" s="586">
        <v>8</v>
      </c>
      <c r="E23" s="728"/>
      <c r="F23" s="587"/>
      <c r="G23" s="587"/>
      <c r="H23" s="587"/>
      <c r="I23" s="587"/>
      <c r="J23" s="587"/>
      <c r="K23" s="587"/>
      <c r="L23" s="588"/>
      <c r="M23" s="610"/>
    </row>
    <row r="24" spans="2:13" ht="12.75" customHeight="1">
      <c r="B24" s="1006"/>
      <c r="C24" s="1009"/>
      <c r="D24" s="586">
        <v>9</v>
      </c>
      <c r="E24" s="728"/>
      <c r="F24" s="587"/>
      <c r="G24" s="587"/>
      <c r="H24" s="587"/>
      <c r="I24" s="587"/>
      <c r="J24" s="587"/>
      <c r="K24" s="587"/>
      <c r="L24" s="588"/>
      <c r="M24" s="610"/>
    </row>
    <row r="25" spans="2:13" ht="12.75" customHeight="1">
      <c r="B25" s="1006"/>
      <c r="C25" s="1009"/>
      <c r="D25" s="80">
        <v>10</v>
      </c>
      <c r="E25" s="729"/>
      <c r="F25" s="589"/>
      <c r="G25" s="589"/>
      <c r="H25" s="589"/>
      <c r="I25" s="589"/>
      <c r="J25" s="589"/>
      <c r="K25" s="589"/>
      <c r="L25" s="590"/>
      <c r="M25" s="610"/>
    </row>
    <row r="26" spans="2:13" ht="13.5" customHeight="1" thickBot="1">
      <c r="B26" s="1007"/>
      <c r="C26" s="1011"/>
      <c r="D26" s="591" t="str">
        <f>$D$14</f>
        <v>Total Load</v>
      </c>
      <c r="E26" s="730"/>
      <c r="F26" s="592"/>
      <c r="G26" s="592"/>
      <c r="H26" s="592"/>
      <c r="I26" s="592"/>
      <c r="J26" s="592"/>
      <c r="K26" s="592"/>
      <c r="L26" s="593"/>
      <c r="M26" s="610"/>
    </row>
    <row r="27" spans="2:13" ht="15" customHeight="1">
      <c r="B27" s="1005">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6"/>
      <c r="C28" s="1008"/>
      <c r="D28" s="586">
        <v>1</v>
      </c>
      <c r="E28" s="728"/>
      <c r="F28" s="587"/>
      <c r="G28" s="587"/>
      <c r="H28" s="587"/>
      <c r="I28" s="587"/>
      <c r="J28" s="587"/>
      <c r="K28" s="587"/>
      <c r="L28" s="588"/>
      <c r="M28" s="610"/>
    </row>
    <row r="29" spans="2:13" ht="12.75" customHeight="1">
      <c r="B29" s="1006"/>
      <c r="C29" s="1009"/>
      <c r="D29" s="586">
        <v>2</v>
      </c>
      <c r="E29" s="728"/>
      <c r="F29" s="587"/>
      <c r="G29" s="587"/>
      <c r="H29" s="587"/>
      <c r="I29" s="587"/>
      <c r="J29" s="587"/>
      <c r="K29" s="587"/>
      <c r="L29" s="588"/>
      <c r="M29" s="610"/>
    </row>
    <row r="30" spans="2:13" ht="12.75" customHeight="1">
      <c r="B30" s="1006"/>
      <c r="C30" s="1009"/>
      <c r="D30" s="586">
        <v>3</v>
      </c>
      <c r="E30" s="728"/>
      <c r="F30" s="587"/>
      <c r="G30" s="587"/>
      <c r="H30" s="587"/>
      <c r="I30" s="587"/>
      <c r="J30" s="587"/>
      <c r="K30" s="587"/>
      <c r="L30" s="588"/>
      <c r="M30" s="610"/>
    </row>
    <row r="31" spans="2:13" ht="12.75" customHeight="1">
      <c r="B31" s="1006"/>
      <c r="C31" s="1009"/>
      <c r="D31" s="586">
        <v>4</v>
      </c>
      <c r="E31" s="728"/>
      <c r="F31" s="587"/>
      <c r="G31" s="587"/>
      <c r="H31" s="587"/>
      <c r="I31" s="587"/>
      <c r="J31" s="587"/>
      <c r="K31" s="587"/>
      <c r="L31" s="588"/>
      <c r="M31" s="610"/>
    </row>
    <row r="32" spans="2:13" ht="12.75" customHeight="1">
      <c r="B32" s="1006"/>
      <c r="C32" s="1009"/>
      <c r="D32" s="586">
        <v>5</v>
      </c>
      <c r="E32" s="728"/>
      <c r="F32" s="587"/>
      <c r="G32" s="587"/>
      <c r="H32" s="587"/>
      <c r="I32" s="587"/>
      <c r="J32" s="587"/>
      <c r="K32" s="587"/>
      <c r="L32" s="588"/>
      <c r="M32" s="610"/>
    </row>
    <row r="33" spans="2:13" ht="12.75" customHeight="1">
      <c r="B33" s="1006"/>
      <c r="C33" s="1009"/>
      <c r="D33" s="586">
        <v>6</v>
      </c>
      <c r="E33" s="728"/>
      <c r="F33" s="587"/>
      <c r="G33" s="587"/>
      <c r="H33" s="587"/>
      <c r="I33" s="587"/>
      <c r="J33" s="587"/>
      <c r="K33" s="587"/>
      <c r="L33" s="588"/>
      <c r="M33" s="610"/>
    </row>
    <row r="34" spans="2:13" ht="12.75" customHeight="1">
      <c r="B34" s="1006"/>
      <c r="C34" s="1009"/>
      <c r="D34" s="586">
        <v>7</v>
      </c>
      <c r="E34" s="728"/>
      <c r="F34" s="587"/>
      <c r="G34" s="587"/>
      <c r="H34" s="587"/>
      <c r="I34" s="587"/>
      <c r="J34" s="587"/>
      <c r="K34" s="587"/>
      <c r="L34" s="588"/>
      <c r="M34" s="610"/>
    </row>
    <row r="35" spans="2:13" ht="12.75" customHeight="1">
      <c r="B35" s="1006"/>
      <c r="C35" s="1009"/>
      <c r="D35" s="586">
        <v>8</v>
      </c>
      <c r="E35" s="728"/>
      <c r="F35" s="587"/>
      <c r="G35" s="587"/>
      <c r="H35" s="587"/>
      <c r="I35" s="587"/>
      <c r="J35" s="587"/>
      <c r="K35" s="587"/>
      <c r="L35" s="588"/>
      <c r="M35" s="610"/>
    </row>
    <row r="36" spans="2:13" ht="12.75" customHeight="1">
      <c r="B36" s="1006"/>
      <c r="C36" s="1009"/>
      <c r="D36" s="586">
        <v>9</v>
      </c>
      <c r="E36" s="728"/>
      <c r="F36" s="587"/>
      <c r="G36" s="587"/>
      <c r="H36" s="587"/>
      <c r="I36" s="587"/>
      <c r="J36" s="587"/>
      <c r="K36" s="587"/>
      <c r="L36" s="588"/>
      <c r="M36" s="610"/>
    </row>
    <row r="37" spans="2:13" ht="12.75" customHeight="1">
      <c r="B37" s="1006"/>
      <c r="C37" s="1009"/>
      <c r="D37" s="80">
        <v>10</v>
      </c>
      <c r="E37" s="729"/>
      <c r="F37" s="589"/>
      <c r="G37" s="589"/>
      <c r="H37" s="589"/>
      <c r="I37" s="589"/>
      <c r="J37" s="589"/>
      <c r="K37" s="589"/>
      <c r="L37" s="590"/>
      <c r="M37" s="610"/>
    </row>
    <row r="38" spans="2:13" ht="13.5" customHeight="1" thickBot="1">
      <c r="B38" s="1007"/>
      <c r="C38" s="1011"/>
      <c r="D38" s="591" t="str">
        <f>$D$14</f>
        <v>Total Load</v>
      </c>
      <c r="E38" s="730"/>
      <c r="F38" s="592"/>
      <c r="G38" s="592"/>
      <c r="H38" s="592"/>
      <c r="I38" s="592"/>
      <c r="J38" s="592"/>
      <c r="K38" s="592"/>
      <c r="L38" s="593"/>
      <c r="M38" s="610"/>
    </row>
    <row r="39" spans="2:13" ht="15" customHeight="1">
      <c r="B39" s="1005">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6"/>
      <c r="C40" s="1008" t="s">
        <v>85</v>
      </c>
      <c r="D40" s="586">
        <v>1</v>
      </c>
      <c r="E40" s="728"/>
      <c r="F40" s="587"/>
      <c r="G40" s="587"/>
      <c r="H40" s="587"/>
      <c r="I40" s="587"/>
      <c r="J40" s="587"/>
      <c r="K40" s="587"/>
      <c r="L40" s="588"/>
      <c r="M40" s="610"/>
    </row>
    <row r="41" spans="2:13" ht="12.75" customHeight="1">
      <c r="B41" s="1006"/>
      <c r="C41" s="1009"/>
      <c r="D41" s="586">
        <v>2</v>
      </c>
      <c r="E41" s="728"/>
      <c r="F41" s="587"/>
      <c r="G41" s="587"/>
      <c r="H41" s="587"/>
      <c r="I41" s="587"/>
      <c r="J41" s="587"/>
      <c r="K41" s="587"/>
      <c r="L41" s="588"/>
      <c r="M41" s="610"/>
    </row>
    <row r="42" spans="2:13" ht="12.75" customHeight="1">
      <c r="B42" s="1006"/>
      <c r="C42" s="1009"/>
      <c r="D42" s="586">
        <v>3</v>
      </c>
      <c r="E42" s="728"/>
      <c r="F42" s="587"/>
      <c r="G42" s="587"/>
      <c r="H42" s="587"/>
      <c r="I42" s="587"/>
      <c r="J42" s="587"/>
      <c r="K42" s="587"/>
      <c r="L42" s="588"/>
      <c r="M42" s="610"/>
    </row>
    <row r="43" spans="2:13" ht="12.75" customHeight="1">
      <c r="B43" s="1006"/>
      <c r="C43" s="1009"/>
      <c r="D43" s="586">
        <v>4</v>
      </c>
      <c r="E43" s="728"/>
      <c r="F43" s="587"/>
      <c r="G43" s="587"/>
      <c r="H43" s="587"/>
      <c r="I43" s="587"/>
      <c r="J43" s="587"/>
      <c r="K43" s="587"/>
      <c r="L43" s="588"/>
      <c r="M43" s="610"/>
    </row>
    <row r="44" spans="2:13" ht="12.75" customHeight="1">
      <c r="B44" s="1006"/>
      <c r="C44" s="1009"/>
      <c r="D44" s="586">
        <v>5</v>
      </c>
      <c r="E44" s="728"/>
      <c r="F44" s="587"/>
      <c r="G44" s="587"/>
      <c r="H44" s="587"/>
      <c r="I44" s="587"/>
      <c r="J44" s="587"/>
      <c r="K44" s="587"/>
      <c r="L44" s="588"/>
      <c r="M44" s="610"/>
    </row>
    <row r="45" spans="2:13" ht="12.75" customHeight="1">
      <c r="B45" s="1006"/>
      <c r="C45" s="1009"/>
      <c r="D45" s="586">
        <v>6</v>
      </c>
      <c r="E45" s="728"/>
      <c r="F45" s="587"/>
      <c r="G45" s="587"/>
      <c r="H45" s="587"/>
      <c r="I45" s="587"/>
      <c r="J45" s="587"/>
      <c r="K45" s="587"/>
      <c r="L45" s="588"/>
      <c r="M45" s="610"/>
    </row>
    <row r="46" spans="2:13" ht="12.75" customHeight="1">
      <c r="B46" s="1006"/>
      <c r="C46" s="1009"/>
      <c r="D46" s="586">
        <v>7</v>
      </c>
      <c r="E46" s="728"/>
      <c r="F46" s="587"/>
      <c r="G46" s="587"/>
      <c r="H46" s="587"/>
      <c r="I46" s="587"/>
      <c r="J46" s="587"/>
      <c r="K46" s="587"/>
      <c r="L46" s="588"/>
      <c r="M46" s="610"/>
    </row>
    <row r="47" spans="2:13" ht="12.75" customHeight="1">
      <c r="B47" s="1006"/>
      <c r="C47" s="1009"/>
      <c r="D47" s="586">
        <v>8</v>
      </c>
      <c r="E47" s="728"/>
      <c r="F47" s="587"/>
      <c r="G47" s="587"/>
      <c r="H47" s="587"/>
      <c r="I47" s="587"/>
      <c r="J47" s="587"/>
      <c r="K47" s="587"/>
      <c r="L47" s="588"/>
      <c r="M47" s="610"/>
    </row>
    <row r="48" spans="2:13" ht="12.75" customHeight="1">
      <c r="B48" s="1006"/>
      <c r="C48" s="1009"/>
      <c r="D48" s="586">
        <v>9</v>
      </c>
      <c r="E48" s="728"/>
      <c r="F48" s="587"/>
      <c r="G48" s="587"/>
      <c r="H48" s="587"/>
      <c r="I48" s="587"/>
      <c r="J48" s="587"/>
      <c r="K48" s="587"/>
      <c r="L48" s="588"/>
      <c r="M48" s="610"/>
    </row>
    <row r="49" spans="2:13" ht="12.75" customHeight="1">
      <c r="B49" s="1006"/>
      <c r="C49" s="1009"/>
      <c r="D49" s="80">
        <v>10</v>
      </c>
      <c r="E49" s="729"/>
      <c r="F49" s="589"/>
      <c r="G49" s="589"/>
      <c r="H49" s="589"/>
      <c r="I49" s="589"/>
      <c r="J49" s="589"/>
      <c r="K49" s="589"/>
      <c r="L49" s="590"/>
      <c r="M49" s="610"/>
    </row>
    <row r="50" spans="2:13" ht="13.5" customHeight="1" thickBot="1">
      <c r="B50" s="1007"/>
      <c r="C50" s="1011"/>
      <c r="D50" s="591" t="str">
        <f>$D$14</f>
        <v>Total Load</v>
      </c>
      <c r="E50" s="730"/>
      <c r="F50" s="592"/>
      <c r="G50" s="592"/>
      <c r="H50" s="592"/>
      <c r="I50" s="592"/>
      <c r="J50" s="592"/>
      <c r="K50" s="592"/>
      <c r="L50" s="593"/>
      <c r="M50" s="610"/>
    </row>
    <row r="51" spans="2:13" ht="15" customHeight="1">
      <c r="B51" s="1005">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6"/>
      <c r="C52" s="1008"/>
      <c r="D52" s="586">
        <v>1</v>
      </c>
      <c r="E52" s="728"/>
      <c r="F52" s="587"/>
      <c r="G52" s="587"/>
      <c r="H52" s="587"/>
      <c r="I52" s="587"/>
      <c r="J52" s="587"/>
      <c r="K52" s="587"/>
      <c r="L52" s="588"/>
      <c r="M52" s="610"/>
    </row>
    <row r="53" spans="2:13" ht="12.75" customHeight="1">
      <c r="B53" s="1006"/>
      <c r="C53" s="1009"/>
      <c r="D53" s="586">
        <v>2</v>
      </c>
      <c r="E53" s="728"/>
      <c r="F53" s="587"/>
      <c r="G53" s="587"/>
      <c r="H53" s="587"/>
      <c r="I53" s="587"/>
      <c r="J53" s="587"/>
      <c r="K53" s="587"/>
      <c r="L53" s="588"/>
      <c r="M53" s="610"/>
    </row>
    <row r="54" spans="2:13" ht="12.75" customHeight="1">
      <c r="B54" s="1006"/>
      <c r="C54" s="1009"/>
      <c r="D54" s="586">
        <v>3</v>
      </c>
      <c r="E54" s="728"/>
      <c r="F54" s="587"/>
      <c r="G54" s="587"/>
      <c r="H54" s="587"/>
      <c r="I54" s="587"/>
      <c r="J54" s="587"/>
      <c r="K54" s="587"/>
      <c r="L54" s="588"/>
      <c r="M54" s="610"/>
    </row>
    <row r="55" spans="2:13" ht="12.75" customHeight="1">
      <c r="B55" s="1006"/>
      <c r="C55" s="1009"/>
      <c r="D55" s="586">
        <v>4</v>
      </c>
      <c r="E55" s="728"/>
      <c r="F55" s="587"/>
      <c r="G55" s="587"/>
      <c r="H55" s="587"/>
      <c r="I55" s="587"/>
      <c r="J55" s="587"/>
      <c r="K55" s="587"/>
      <c r="L55" s="588"/>
      <c r="M55" s="610"/>
    </row>
    <row r="56" spans="2:13" ht="12.75" customHeight="1">
      <c r="B56" s="1006"/>
      <c r="C56" s="1009"/>
      <c r="D56" s="586">
        <v>5</v>
      </c>
      <c r="E56" s="728"/>
      <c r="F56" s="587"/>
      <c r="G56" s="587"/>
      <c r="H56" s="587"/>
      <c r="I56" s="587"/>
      <c r="J56" s="587"/>
      <c r="K56" s="587"/>
      <c r="L56" s="588"/>
      <c r="M56" s="610"/>
    </row>
    <row r="57" spans="2:13" ht="12.75" customHeight="1">
      <c r="B57" s="1006"/>
      <c r="C57" s="1009"/>
      <c r="D57" s="586">
        <v>6</v>
      </c>
      <c r="E57" s="728"/>
      <c r="F57" s="587"/>
      <c r="G57" s="587"/>
      <c r="H57" s="587"/>
      <c r="I57" s="587"/>
      <c r="J57" s="587"/>
      <c r="K57" s="587"/>
      <c r="L57" s="588"/>
      <c r="M57" s="610"/>
    </row>
    <row r="58" spans="2:13" ht="12.75" customHeight="1">
      <c r="B58" s="1006"/>
      <c r="C58" s="1009"/>
      <c r="D58" s="586">
        <v>7</v>
      </c>
      <c r="E58" s="728"/>
      <c r="F58" s="587"/>
      <c r="G58" s="587"/>
      <c r="H58" s="587"/>
      <c r="I58" s="587"/>
      <c r="J58" s="587"/>
      <c r="K58" s="587"/>
      <c r="L58" s="588"/>
      <c r="M58" s="610"/>
    </row>
    <row r="59" spans="2:13" ht="12.75" customHeight="1">
      <c r="B59" s="1006"/>
      <c r="C59" s="1009"/>
      <c r="D59" s="586">
        <v>8</v>
      </c>
      <c r="E59" s="728"/>
      <c r="F59" s="587"/>
      <c r="G59" s="587"/>
      <c r="H59" s="587"/>
      <c r="I59" s="587"/>
      <c r="J59" s="587"/>
      <c r="K59" s="587"/>
      <c r="L59" s="588"/>
      <c r="M59" s="610"/>
    </row>
    <row r="60" spans="2:13" ht="12.75" customHeight="1">
      <c r="B60" s="1006"/>
      <c r="C60" s="1009"/>
      <c r="D60" s="586">
        <v>9</v>
      </c>
      <c r="E60" s="728"/>
      <c r="F60" s="587"/>
      <c r="G60" s="587"/>
      <c r="H60" s="587"/>
      <c r="I60" s="587"/>
      <c r="J60" s="587"/>
      <c r="K60" s="587"/>
      <c r="L60" s="588"/>
      <c r="M60" s="610"/>
    </row>
    <row r="61" spans="2:13" ht="12.75" customHeight="1">
      <c r="B61" s="1006"/>
      <c r="C61" s="1009"/>
      <c r="D61" s="80">
        <v>10</v>
      </c>
      <c r="E61" s="729"/>
      <c r="F61" s="589"/>
      <c r="G61" s="589"/>
      <c r="H61" s="589"/>
      <c r="I61" s="589"/>
      <c r="J61" s="589"/>
      <c r="K61" s="589"/>
      <c r="L61" s="590"/>
      <c r="M61" s="610"/>
    </row>
    <row r="62" spans="2:13" ht="13.5" customHeight="1" thickBot="1">
      <c r="B62" s="1007"/>
      <c r="C62" s="1011"/>
      <c r="D62" s="591" t="str">
        <f>$D$14</f>
        <v>Total Load</v>
      </c>
      <c r="E62" s="730"/>
      <c r="F62" s="592"/>
      <c r="G62" s="592"/>
      <c r="H62" s="592"/>
      <c r="I62" s="592"/>
      <c r="J62" s="592"/>
      <c r="K62" s="592"/>
      <c r="L62" s="593"/>
      <c r="M62" s="610"/>
    </row>
    <row r="63" spans="2:13" ht="15" customHeight="1">
      <c r="B63" s="1005">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6"/>
      <c r="C64" s="1008"/>
      <c r="D64" s="586">
        <v>1</v>
      </c>
      <c r="E64" s="728"/>
      <c r="F64" s="587"/>
      <c r="G64" s="587"/>
      <c r="H64" s="587"/>
      <c r="I64" s="587"/>
      <c r="J64" s="587"/>
      <c r="K64" s="587"/>
      <c r="L64" s="588"/>
      <c r="M64" s="610"/>
    </row>
    <row r="65" spans="2:13">
      <c r="B65" s="1006"/>
      <c r="C65" s="1009"/>
      <c r="D65" s="586">
        <v>2</v>
      </c>
      <c r="E65" s="728"/>
      <c r="F65" s="587"/>
      <c r="G65" s="587"/>
      <c r="H65" s="587"/>
      <c r="I65" s="587"/>
      <c r="J65" s="587"/>
      <c r="K65" s="587"/>
      <c r="L65" s="588"/>
      <c r="M65" s="610"/>
    </row>
    <row r="66" spans="2:13">
      <c r="B66" s="1006"/>
      <c r="C66" s="1009"/>
      <c r="D66" s="586">
        <v>3</v>
      </c>
      <c r="E66" s="728"/>
      <c r="F66" s="587"/>
      <c r="G66" s="587"/>
      <c r="H66" s="587"/>
      <c r="I66" s="587"/>
      <c r="J66" s="587"/>
      <c r="K66" s="587"/>
      <c r="L66" s="588"/>
      <c r="M66" s="610"/>
    </row>
    <row r="67" spans="2:13">
      <c r="B67" s="1006"/>
      <c r="C67" s="1009"/>
      <c r="D67" s="586">
        <v>4</v>
      </c>
      <c r="E67" s="728"/>
      <c r="F67" s="587"/>
      <c r="G67" s="587"/>
      <c r="H67" s="587"/>
      <c r="I67" s="587"/>
      <c r="J67" s="587"/>
      <c r="K67" s="587"/>
      <c r="L67" s="588"/>
      <c r="M67" s="610"/>
    </row>
    <row r="68" spans="2:13">
      <c r="B68" s="1006"/>
      <c r="C68" s="1009"/>
      <c r="D68" s="586">
        <v>5</v>
      </c>
      <c r="E68" s="728"/>
      <c r="F68" s="587"/>
      <c r="G68" s="587"/>
      <c r="H68" s="587"/>
      <c r="I68" s="587"/>
      <c r="J68" s="587"/>
      <c r="K68" s="587"/>
      <c r="L68" s="588"/>
      <c r="M68" s="610"/>
    </row>
    <row r="69" spans="2:13">
      <c r="B69" s="1006"/>
      <c r="C69" s="1009"/>
      <c r="D69" s="586">
        <v>6</v>
      </c>
      <c r="E69" s="728"/>
      <c r="F69" s="587"/>
      <c r="G69" s="587"/>
      <c r="H69" s="587"/>
      <c r="I69" s="587"/>
      <c r="J69" s="587"/>
      <c r="K69" s="587"/>
      <c r="L69" s="588"/>
      <c r="M69" s="610"/>
    </row>
    <row r="70" spans="2:13">
      <c r="B70" s="1006"/>
      <c r="C70" s="1009"/>
      <c r="D70" s="586">
        <v>7</v>
      </c>
      <c r="E70" s="728"/>
      <c r="F70" s="587"/>
      <c r="G70" s="587"/>
      <c r="H70" s="587"/>
      <c r="I70" s="587"/>
      <c r="J70" s="587"/>
      <c r="K70" s="587"/>
      <c r="L70" s="588"/>
      <c r="M70" s="610"/>
    </row>
    <row r="71" spans="2:13">
      <c r="B71" s="1006"/>
      <c r="C71" s="1009"/>
      <c r="D71" s="586">
        <v>8</v>
      </c>
      <c r="E71" s="728"/>
      <c r="F71" s="587"/>
      <c r="G71" s="587"/>
      <c r="H71" s="587"/>
      <c r="I71" s="587"/>
      <c r="J71" s="587"/>
      <c r="K71" s="587"/>
      <c r="L71" s="588"/>
      <c r="M71" s="610"/>
    </row>
    <row r="72" spans="2:13">
      <c r="B72" s="1006"/>
      <c r="C72" s="1009"/>
      <c r="D72" s="586">
        <v>9</v>
      </c>
      <c r="E72" s="728"/>
      <c r="F72" s="587"/>
      <c r="G72" s="587"/>
      <c r="H72" s="587"/>
      <c r="I72" s="587"/>
      <c r="J72" s="587"/>
      <c r="K72" s="587"/>
      <c r="L72" s="588"/>
      <c r="M72" s="610"/>
    </row>
    <row r="73" spans="2:13">
      <c r="B73" s="1006"/>
      <c r="C73" s="1009"/>
      <c r="D73" s="80">
        <v>10</v>
      </c>
      <c r="E73" s="729"/>
      <c r="F73" s="589"/>
      <c r="G73" s="589"/>
      <c r="H73" s="589"/>
      <c r="I73" s="589"/>
      <c r="J73" s="589"/>
      <c r="K73" s="589"/>
      <c r="L73" s="590"/>
      <c r="M73" s="610"/>
    </row>
    <row r="74" spans="2:13" ht="13.5" customHeight="1" thickBot="1">
      <c r="B74" s="1007"/>
      <c r="C74" s="1010"/>
      <c r="D74" s="591" t="str">
        <f>$D$14</f>
        <v>Total Load</v>
      </c>
      <c r="E74" s="730"/>
      <c r="F74" s="592"/>
      <c r="G74" s="592"/>
      <c r="H74" s="592"/>
      <c r="I74" s="592"/>
      <c r="J74" s="592"/>
      <c r="K74" s="592"/>
      <c r="L74" s="593"/>
      <c r="M74" s="610"/>
    </row>
    <row r="75" spans="2:13" ht="15" customHeight="1">
      <c r="B75" s="1005">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6"/>
      <c r="C76" s="1008"/>
      <c r="D76" s="586">
        <v>1</v>
      </c>
      <c r="E76" s="728"/>
      <c r="F76" s="587"/>
      <c r="G76" s="587"/>
      <c r="H76" s="587"/>
      <c r="I76" s="587"/>
      <c r="J76" s="587"/>
      <c r="K76" s="587"/>
      <c r="L76" s="588"/>
      <c r="M76" s="610"/>
    </row>
    <row r="77" spans="2:13">
      <c r="B77" s="1006"/>
      <c r="C77" s="1009"/>
      <c r="D77" s="586">
        <v>2</v>
      </c>
      <c r="E77" s="728"/>
      <c r="F77" s="587"/>
      <c r="G77" s="587"/>
      <c r="H77" s="587"/>
      <c r="I77" s="587"/>
      <c r="J77" s="587"/>
      <c r="K77" s="587"/>
      <c r="L77" s="588"/>
      <c r="M77" s="610"/>
    </row>
    <row r="78" spans="2:13">
      <c r="B78" s="1006"/>
      <c r="C78" s="1009"/>
      <c r="D78" s="586">
        <v>3</v>
      </c>
      <c r="E78" s="728"/>
      <c r="F78" s="587"/>
      <c r="G78" s="587"/>
      <c r="H78" s="587"/>
      <c r="I78" s="587"/>
      <c r="J78" s="587"/>
      <c r="K78" s="587"/>
      <c r="L78" s="588"/>
      <c r="M78" s="610"/>
    </row>
    <row r="79" spans="2:13">
      <c r="B79" s="1006"/>
      <c r="C79" s="1009"/>
      <c r="D79" s="586">
        <v>4</v>
      </c>
      <c r="E79" s="728"/>
      <c r="F79" s="587"/>
      <c r="G79" s="587"/>
      <c r="H79" s="587"/>
      <c r="I79" s="587"/>
      <c r="J79" s="587"/>
      <c r="K79" s="587"/>
      <c r="L79" s="588"/>
      <c r="M79" s="610"/>
    </row>
    <row r="80" spans="2:13">
      <c r="B80" s="1006"/>
      <c r="C80" s="1009"/>
      <c r="D80" s="586">
        <v>5</v>
      </c>
      <c r="E80" s="728"/>
      <c r="F80" s="587"/>
      <c r="G80" s="587"/>
      <c r="H80" s="587"/>
      <c r="I80" s="587"/>
      <c r="J80" s="587"/>
      <c r="K80" s="587"/>
      <c r="L80" s="588"/>
      <c r="M80" s="610"/>
    </row>
    <row r="81" spans="2:13">
      <c r="B81" s="1006"/>
      <c r="C81" s="1009"/>
      <c r="D81" s="586">
        <v>6</v>
      </c>
      <c r="E81" s="728"/>
      <c r="F81" s="587"/>
      <c r="G81" s="587"/>
      <c r="H81" s="587"/>
      <c r="I81" s="587"/>
      <c r="J81" s="587"/>
      <c r="K81" s="587"/>
      <c r="L81" s="588"/>
      <c r="M81" s="610"/>
    </row>
    <row r="82" spans="2:13">
      <c r="B82" s="1006"/>
      <c r="C82" s="1009"/>
      <c r="D82" s="586">
        <v>7</v>
      </c>
      <c r="E82" s="728"/>
      <c r="F82" s="587"/>
      <c r="G82" s="587"/>
      <c r="H82" s="587"/>
      <c r="I82" s="587"/>
      <c r="J82" s="587"/>
      <c r="K82" s="587"/>
      <c r="L82" s="588"/>
      <c r="M82" s="610"/>
    </row>
    <row r="83" spans="2:13">
      <c r="B83" s="1006"/>
      <c r="C83" s="1009"/>
      <c r="D83" s="586">
        <v>8</v>
      </c>
      <c r="E83" s="728"/>
      <c r="F83" s="587"/>
      <c r="G83" s="587"/>
      <c r="H83" s="587"/>
      <c r="I83" s="587"/>
      <c r="J83" s="587"/>
      <c r="K83" s="587"/>
      <c r="L83" s="588"/>
      <c r="M83" s="610"/>
    </row>
    <row r="84" spans="2:13">
      <c r="B84" s="1006"/>
      <c r="C84" s="1009"/>
      <c r="D84" s="586">
        <v>9</v>
      </c>
      <c r="E84" s="728"/>
      <c r="F84" s="587"/>
      <c r="G84" s="587"/>
      <c r="H84" s="587"/>
      <c r="I84" s="587"/>
      <c r="J84" s="587"/>
      <c r="K84" s="587"/>
      <c r="L84" s="588"/>
      <c r="M84" s="610"/>
    </row>
    <row r="85" spans="2:13">
      <c r="B85" s="1006"/>
      <c r="C85" s="1009"/>
      <c r="D85" s="80">
        <v>10</v>
      </c>
      <c r="E85" s="729"/>
      <c r="F85" s="589"/>
      <c r="G85" s="589"/>
      <c r="H85" s="589"/>
      <c r="I85" s="589"/>
      <c r="J85" s="589"/>
      <c r="K85" s="589"/>
      <c r="L85" s="590"/>
      <c r="M85" s="610"/>
    </row>
    <row r="86" spans="2:13" ht="13.5" customHeight="1" thickBot="1">
      <c r="B86" s="1007"/>
      <c r="C86" s="1010"/>
      <c r="D86" s="591" t="str">
        <f>$D$14</f>
        <v>Total Load</v>
      </c>
      <c r="E86" s="730"/>
      <c r="F86" s="592"/>
      <c r="G86" s="592"/>
      <c r="H86" s="592"/>
      <c r="I86" s="592"/>
      <c r="J86" s="592"/>
      <c r="K86" s="592"/>
      <c r="L86" s="593"/>
      <c r="M86" s="610"/>
    </row>
    <row r="87" spans="2:13" ht="15" customHeight="1">
      <c r="B87" s="1005">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6"/>
      <c r="C88" s="1008"/>
      <c r="D88" s="586">
        <v>1</v>
      </c>
      <c r="E88" s="728"/>
      <c r="F88" s="587"/>
      <c r="G88" s="587"/>
      <c r="H88" s="587"/>
      <c r="I88" s="587"/>
      <c r="J88" s="587"/>
      <c r="K88" s="587"/>
      <c r="L88" s="588"/>
      <c r="M88" s="610"/>
    </row>
    <row r="89" spans="2:13">
      <c r="B89" s="1006"/>
      <c r="C89" s="1009"/>
      <c r="D89" s="586">
        <v>2</v>
      </c>
      <c r="E89" s="728"/>
      <c r="F89" s="587"/>
      <c r="G89" s="587"/>
      <c r="H89" s="587"/>
      <c r="I89" s="587"/>
      <c r="J89" s="587"/>
      <c r="K89" s="587"/>
      <c r="L89" s="588"/>
      <c r="M89" s="610"/>
    </row>
    <row r="90" spans="2:13">
      <c r="B90" s="1006"/>
      <c r="C90" s="1009"/>
      <c r="D90" s="586">
        <v>3</v>
      </c>
      <c r="E90" s="728"/>
      <c r="F90" s="587"/>
      <c r="G90" s="587"/>
      <c r="H90" s="587"/>
      <c r="I90" s="587"/>
      <c r="J90" s="587"/>
      <c r="K90" s="587"/>
      <c r="L90" s="588"/>
      <c r="M90" s="610"/>
    </row>
    <row r="91" spans="2:13">
      <c r="B91" s="1006"/>
      <c r="C91" s="1009"/>
      <c r="D91" s="586">
        <v>4</v>
      </c>
      <c r="E91" s="728"/>
      <c r="F91" s="587"/>
      <c r="G91" s="587"/>
      <c r="H91" s="587"/>
      <c r="I91" s="587"/>
      <c r="J91" s="587"/>
      <c r="K91" s="587"/>
      <c r="L91" s="588"/>
      <c r="M91" s="610"/>
    </row>
    <row r="92" spans="2:13">
      <c r="B92" s="1006"/>
      <c r="C92" s="1009"/>
      <c r="D92" s="586">
        <v>5</v>
      </c>
      <c r="E92" s="728"/>
      <c r="F92" s="587"/>
      <c r="G92" s="587"/>
      <c r="H92" s="587"/>
      <c r="I92" s="587"/>
      <c r="J92" s="587"/>
      <c r="K92" s="587"/>
      <c r="L92" s="588"/>
      <c r="M92" s="610"/>
    </row>
    <row r="93" spans="2:13">
      <c r="B93" s="1006"/>
      <c r="C93" s="1009"/>
      <c r="D93" s="586">
        <v>6</v>
      </c>
      <c r="E93" s="728"/>
      <c r="F93" s="587"/>
      <c r="G93" s="587"/>
      <c r="H93" s="587"/>
      <c r="I93" s="587"/>
      <c r="J93" s="587"/>
      <c r="K93" s="587"/>
      <c r="L93" s="588"/>
      <c r="M93" s="610"/>
    </row>
    <row r="94" spans="2:13">
      <c r="B94" s="1006"/>
      <c r="C94" s="1009"/>
      <c r="D94" s="586">
        <v>7</v>
      </c>
      <c r="E94" s="728"/>
      <c r="F94" s="587"/>
      <c r="G94" s="587"/>
      <c r="H94" s="587"/>
      <c r="I94" s="587"/>
      <c r="J94" s="587"/>
      <c r="K94" s="587"/>
      <c r="L94" s="588"/>
      <c r="M94" s="610"/>
    </row>
    <row r="95" spans="2:13">
      <c r="B95" s="1006"/>
      <c r="C95" s="1009"/>
      <c r="D95" s="586">
        <v>8</v>
      </c>
      <c r="E95" s="728"/>
      <c r="F95" s="587"/>
      <c r="G95" s="587"/>
      <c r="H95" s="587"/>
      <c r="I95" s="587"/>
      <c r="J95" s="587"/>
      <c r="K95" s="587"/>
      <c r="L95" s="588"/>
      <c r="M95" s="610"/>
    </row>
    <row r="96" spans="2:13">
      <c r="B96" s="1006"/>
      <c r="C96" s="1009"/>
      <c r="D96" s="586">
        <v>9</v>
      </c>
      <c r="E96" s="728"/>
      <c r="F96" s="587"/>
      <c r="G96" s="587"/>
      <c r="H96" s="587"/>
      <c r="I96" s="587"/>
      <c r="J96" s="587"/>
      <c r="K96" s="587"/>
      <c r="L96" s="588"/>
      <c r="M96" s="610"/>
    </row>
    <row r="97" spans="2:13">
      <c r="B97" s="1006"/>
      <c r="C97" s="1009"/>
      <c r="D97" s="80">
        <v>10</v>
      </c>
      <c r="E97" s="729"/>
      <c r="F97" s="589"/>
      <c r="G97" s="589"/>
      <c r="H97" s="589"/>
      <c r="I97" s="589"/>
      <c r="J97" s="589"/>
      <c r="K97" s="589"/>
      <c r="L97" s="590"/>
      <c r="M97" s="610"/>
    </row>
    <row r="98" spans="2:13" ht="13.5" customHeight="1" thickBot="1">
      <c r="B98" s="1007"/>
      <c r="C98" s="1010"/>
      <c r="D98" s="591" t="str">
        <f>$D$14</f>
        <v>Total Load</v>
      </c>
      <c r="E98" s="730"/>
      <c r="F98" s="592"/>
      <c r="G98" s="592"/>
      <c r="H98" s="592"/>
      <c r="I98" s="592"/>
      <c r="J98" s="592"/>
      <c r="K98" s="592"/>
      <c r="L98" s="593"/>
      <c r="M98" s="610"/>
    </row>
    <row r="99" spans="2:13" ht="15" customHeight="1">
      <c r="B99" s="1005">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6"/>
      <c r="C100" s="1008"/>
      <c r="D100" s="586">
        <v>1</v>
      </c>
      <c r="E100" s="728"/>
      <c r="F100" s="587"/>
      <c r="G100" s="587"/>
      <c r="H100" s="587"/>
      <c r="I100" s="587"/>
      <c r="J100" s="587"/>
      <c r="K100" s="587"/>
      <c r="L100" s="588"/>
      <c r="M100" s="610"/>
    </row>
    <row r="101" spans="2:13">
      <c r="B101" s="1006"/>
      <c r="C101" s="1009"/>
      <c r="D101" s="586">
        <v>2</v>
      </c>
      <c r="E101" s="728"/>
      <c r="F101" s="587"/>
      <c r="G101" s="587"/>
      <c r="H101" s="587"/>
      <c r="I101" s="587"/>
      <c r="J101" s="587"/>
      <c r="K101" s="587"/>
      <c r="L101" s="588"/>
      <c r="M101" s="610"/>
    </row>
    <row r="102" spans="2:13">
      <c r="B102" s="1006"/>
      <c r="C102" s="1009"/>
      <c r="D102" s="586">
        <v>3</v>
      </c>
      <c r="E102" s="728"/>
      <c r="F102" s="587"/>
      <c r="G102" s="587"/>
      <c r="H102" s="587"/>
      <c r="I102" s="587"/>
      <c r="J102" s="587"/>
      <c r="K102" s="587"/>
      <c r="L102" s="588"/>
      <c r="M102" s="610"/>
    </row>
    <row r="103" spans="2:13">
      <c r="B103" s="1006"/>
      <c r="C103" s="1009"/>
      <c r="D103" s="586">
        <v>4</v>
      </c>
      <c r="E103" s="728"/>
      <c r="F103" s="587"/>
      <c r="G103" s="587"/>
      <c r="H103" s="587"/>
      <c r="I103" s="587"/>
      <c r="J103" s="587"/>
      <c r="K103" s="587"/>
      <c r="L103" s="588"/>
      <c r="M103" s="610"/>
    </row>
    <row r="104" spans="2:13">
      <c r="B104" s="1006"/>
      <c r="C104" s="1009"/>
      <c r="D104" s="586">
        <v>5</v>
      </c>
      <c r="E104" s="728"/>
      <c r="F104" s="587"/>
      <c r="G104" s="587"/>
      <c r="H104" s="587"/>
      <c r="I104" s="587"/>
      <c r="J104" s="587"/>
      <c r="K104" s="587"/>
      <c r="L104" s="588"/>
      <c r="M104" s="610"/>
    </row>
    <row r="105" spans="2:13">
      <c r="B105" s="1006"/>
      <c r="C105" s="1009"/>
      <c r="D105" s="586">
        <v>6</v>
      </c>
      <c r="E105" s="728"/>
      <c r="F105" s="587"/>
      <c r="G105" s="587"/>
      <c r="H105" s="587"/>
      <c r="I105" s="587"/>
      <c r="J105" s="587"/>
      <c r="K105" s="587"/>
      <c r="L105" s="588"/>
      <c r="M105" s="610"/>
    </row>
    <row r="106" spans="2:13">
      <c r="B106" s="1006"/>
      <c r="C106" s="1009"/>
      <c r="D106" s="586">
        <v>7</v>
      </c>
      <c r="E106" s="728"/>
      <c r="F106" s="587"/>
      <c r="G106" s="587"/>
      <c r="H106" s="587"/>
      <c r="I106" s="587"/>
      <c r="J106" s="587"/>
      <c r="K106" s="587"/>
      <c r="L106" s="588"/>
      <c r="M106" s="610"/>
    </row>
    <row r="107" spans="2:13">
      <c r="B107" s="1006"/>
      <c r="C107" s="1009"/>
      <c r="D107" s="586">
        <v>8</v>
      </c>
      <c r="E107" s="728"/>
      <c r="F107" s="587"/>
      <c r="G107" s="587"/>
      <c r="H107" s="587"/>
      <c r="I107" s="587"/>
      <c r="J107" s="587"/>
      <c r="K107" s="587"/>
      <c r="L107" s="588"/>
      <c r="M107" s="610"/>
    </row>
    <row r="108" spans="2:13">
      <c r="B108" s="1006"/>
      <c r="C108" s="1009"/>
      <c r="D108" s="586">
        <v>9</v>
      </c>
      <c r="E108" s="728"/>
      <c r="F108" s="587"/>
      <c r="G108" s="587"/>
      <c r="H108" s="587"/>
      <c r="I108" s="587"/>
      <c r="J108" s="587"/>
      <c r="K108" s="587"/>
      <c r="L108" s="588"/>
      <c r="M108" s="610"/>
    </row>
    <row r="109" spans="2:13">
      <c r="B109" s="1006"/>
      <c r="C109" s="1009"/>
      <c r="D109" s="80">
        <v>10</v>
      </c>
      <c r="E109" s="729"/>
      <c r="F109" s="589"/>
      <c r="G109" s="589"/>
      <c r="H109" s="589"/>
      <c r="I109" s="589"/>
      <c r="J109" s="589"/>
      <c r="K109" s="589"/>
      <c r="L109" s="590"/>
      <c r="M109" s="610"/>
    </row>
    <row r="110" spans="2:13" ht="13.5" customHeight="1" thickBot="1">
      <c r="B110" s="1007"/>
      <c r="C110" s="1010"/>
      <c r="D110" s="591" t="str">
        <f>$D$14</f>
        <v>Total Load</v>
      </c>
      <c r="E110" s="730"/>
      <c r="F110" s="592"/>
      <c r="G110" s="592"/>
      <c r="H110" s="592"/>
      <c r="I110" s="592"/>
      <c r="J110" s="592"/>
      <c r="K110" s="592"/>
      <c r="L110" s="593"/>
      <c r="M110" s="610"/>
    </row>
    <row r="111" spans="2:13" ht="15" customHeight="1">
      <c r="B111" s="1005">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6"/>
      <c r="C112" s="1008" t="s">
        <v>2580</v>
      </c>
      <c r="D112" s="586">
        <v>1</v>
      </c>
      <c r="E112" s="728" t="s">
        <v>2582</v>
      </c>
      <c r="F112" s="587">
        <v>2</v>
      </c>
      <c r="G112" s="587">
        <v>0</v>
      </c>
      <c r="H112" s="587">
        <v>0</v>
      </c>
      <c r="I112" s="587">
        <v>0.01</v>
      </c>
      <c r="J112" s="587">
        <v>0.16</v>
      </c>
      <c r="K112" s="587">
        <v>0.16</v>
      </c>
      <c r="L112" s="588">
        <v>0.02</v>
      </c>
      <c r="M112" s="610">
        <v>1</v>
      </c>
    </row>
    <row r="113" spans="2:13">
      <c r="B113" s="1006"/>
      <c r="C113" s="1009"/>
      <c r="D113" s="586">
        <v>2</v>
      </c>
      <c r="E113" s="728" t="s">
        <v>2575</v>
      </c>
      <c r="F113" s="587">
        <v>12</v>
      </c>
      <c r="G113" s="587">
        <v>0</v>
      </c>
      <c r="H113" s="587">
        <v>0.02</v>
      </c>
      <c r="I113" s="587">
        <v>7.0000000000000007E-2</v>
      </c>
      <c r="J113" s="587">
        <v>0.16</v>
      </c>
      <c r="K113" s="587">
        <v>0.36</v>
      </c>
      <c r="L113" s="588">
        <v>0.1</v>
      </c>
      <c r="M113" s="610">
        <v>1</v>
      </c>
    </row>
    <row r="114" spans="2:13">
      <c r="B114" s="1006"/>
      <c r="C114" s="1009"/>
      <c r="D114" s="586">
        <v>3</v>
      </c>
      <c r="E114" s="728" t="s">
        <v>2576</v>
      </c>
      <c r="F114" s="587">
        <v>2</v>
      </c>
      <c r="G114" s="587">
        <v>0</v>
      </c>
      <c r="H114" s="587">
        <v>-0.25</v>
      </c>
      <c r="I114" s="587">
        <v>7.0000000000000007E-2</v>
      </c>
      <c r="J114" s="587">
        <v>0.09</v>
      </c>
      <c r="K114" s="587">
        <v>0.18</v>
      </c>
      <c r="L114" s="588">
        <v>0.09</v>
      </c>
      <c r="M114" s="610">
        <v>3</v>
      </c>
    </row>
    <row r="115" spans="2:13">
      <c r="B115" s="1006"/>
      <c r="C115" s="1009"/>
      <c r="D115" s="586">
        <v>4</v>
      </c>
      <c r="E115" s="728" t="s">
        <v>2583</v>
      </c>
      <c r="F115" s="587">
        <v>0.6</v>
      </c>
      <c r="G115" s="587">
        <v>0</v>
      </c>
      <c r="H115" s="587">
        <v>0.105</v>
      </c>
      <c r="I115" s="587">
        <v>0.13500000000000001</v>
      </c>
      <c r="J115" s="587">
        <v>0.02</v>
      </c>
      <c r="K115" s="587">
        <v>0.05</v>
      </c>
      <c r="L115" s="588">
        <v>0.08</v>
      </c>
      <c r="M115" s="610">
        <v>5</v>
      </c>
    </row>
    <row r="116" spans="2:13">
      <c r="B116" s="1006"/>
      <c r="C116" s="1009"/>
      <c r="D116" s="586">
        <v>5</v>
      </c>
      <c r="E116" s="728" t="s">
        <v>2584</v>
      </c>
      <c r="F116" s="587">
        <v>0.6</v>
      </c>
      <c r="G116" s="587">
        <v>0</v>
      </c>
      <c r="H116" s="587">
        <v>-0.105</v>
      </c>
      <c r="I116" s="587">
        <v>0.13500000000000001</v>
      </c>
      <c r="J116" s="587">
        <v>0.02</v>
      </c>
      <c r="K116" s="587">
        <v>0.05</v>
      </c>
      <c r="L116" s="588">
        <v>0.08</v>
      </c>
      <c r="M116" s="610">
        <v>5</v>
      </c>
    </row>
    <row r="117" spans="2:13">
      <c r="B117" s="1006"/>
      <c r="C117" s="1009"/>
      <c r="D117" s="586">
        <v>6</v>
      </c>
      <c r="E117" s="728" t="s">
        <v>2586</v>
      </c>
      <c r="F117" s="587">
        <v>5.5</v>
      </c>
      <c r="G117" s="587">
        <v>0</v>
      </c>
      <c r="H117" s="587">
        <v>0.14000000000000001</v>
      </c>
      <c r="I117" s="587">
        <v>0.245</v>
      </c>
      <c r="J117" s="587">
        <v>0.1</v>
      </c>
      <c r="K117" s="587">
        <v>0.02</v>
      </c>
      <c r="L117" s="588">
        <v>0.3</v>
      </c>
      <c r="M117" s="610">
        <v>5</v>
      </c>
    </row>
    <row r="118" spans="2:13">
      <c r="B118" s="1006"/>
      <c r="C118" s="1009"/>
      <c r="D118" s="586">
        <v>7</v>
      </c>
      <c r="E118" s="728" t="s">
        <v>2587</v>
      </c>
      <c r="F118" s="587">
        <v>5.5</v>
      </c>
      <c r="G118" s="587">
        <v>0</v>
      </c>
      <c r="H118" s="587">
        <v>-0.14000000000000001</v>
      </c>
      <c r="I118" s="587">
        <v>0.245</v>
      </c>
      <c r="J118" s="587">
        <v>0.1</v>
      </c>
      <c r="K118" s="587">
        <v>0.02</v>
      </c>
      <c r="L118" s="588">
        <v>0.3</v>
      </c>
      <c r="M118" s="610">
        <v>5</v>
      </c>
    </row>
    <row r="119" spans="2:13">
      <c r="B119" s="1006"/>
      <c r="C119" s="1009"/>
      <c r="D119" s="586">
        <v>8</v>
      </c>
      <c r="E119" s="728" t="s">
        <v>2577</v>
      </c>
      <c r="F119" s="587">
        <v>3.1</v>
      </c>
      <c r="G119" s="587">
        <v>0</v>
      </c>
      <c r="H119" s="587">
        <v>0.12</v>
      </c>
      <c r="I119" s="587">
        <v>0.35</v>
      </c>
      <c r="J119" s="587">
        <v>0.25</v>
      </c>
      <c r="K119" s="587">
        <v>0.02</v>
      </c>
      <c r="L119" s="588">
        <v>0.08</v>
      </c>
      <c r="M119" s="610">
        <v>5</v>
      </c>
    </row>
    <row r="120" spans="2:13">
      <c r="B120" s="1006"/>
      <c r="C120" s="1009"/>
      <c r="D120" s="586">
        <v>9</v>
      </c>
      <c r="E120" s="728" t="s">
        <v>2578</v>
      </c>
      <c r="F120" s="587">
        <v>3.1</v>
      </c>
      <c r="G120" s="587">
        <v>0</v>
      </c>
      <c r="H120" s="587">
        <v>-0.12</v>
      </c>
      <c r="I120" s="587">
        <v>0.35</v>
      </c>
      <c r="J120" s="587">
        <v>0.25</v>
      </c>
      <c r="K120" s="587">
        <v>0.02</v>
      </c>
      <c r="L120" s="588">
        <v>0.08</v>
      </c>
      <c r="M120" s="610">
        <v>5</v>
      </c>
    </row>
    <row r="121" spans="2:13">
      <c r="B121" s="1006"/>
      <c r="C121" s="1009"/>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7"/>
      <c r="C122" s="1010"/>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2016-12-07T00:31:12Z</cp:lastPrinted>
  <dcterms:created xsi:type="dcterms:W3CDTF">1999-12-01T08:04:04Z</dcterms:created>
  <dcterms:modified xsi:type="dcterms:W3CDTF">2016-12-07T00:31:15Z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