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F25" i="60"/>
  <c r="D23" i="30"/>
  <c r="L56" i="37"/>
  <c r="D53" i="39"/>
  <c r="D35" i="39"/>
  <c r="R22" i="39"/>
  <c r="H28" i="30"/>
  <c r="H17" i="60"/>
  <c r="G56" i="37"/>
  <c r="H56" i="37"/>
  <c r="I56" i="37"/>
  <c r="K56" i="37"/>
  <c r="F58" i="39"/>
  <c r="F40" i="39"/>
  <c r="I61" i="39" l="1"/>
  <c r="D14" i="39"/>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l="1"/>
  <c r="O67" i="37" s="1"/>
  <c r="Q67" i="37" s="1"/>
  <c r="P67" i="37" l="1"/>
  <c r="T67" i="37" s="1"/>
  <c r="Y67" i="37" s="1"/>
  <c r="V67" i="37"/>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l="1"/>
  <c r="X69" i="37" s="1"/>
  <c r="V69" i="37"/>
  <c r="T69" i="37"/>
  <c r="Y69" i="37" s="1"/>
  <c r="U69" i="37"/>
  <c r="W69" i="37"/>
  <c r="AA69" i="37" l="1"/>
  <c r="Z69" i="37"/>
  <c r="AB69" i="37" l="1"/>
  <c r="O70" i="37" s="1"/>
  <c r="P70" i="37" s="1"/>
  <c r="N63" i="37"/>
  <c r="B89" i="37" s="1"/>
  <c r="E89" i="37" s="1"/>
  <c r="Q70" i="37"/>
  <c r="V70" i="37" s="1"/>
  <c r="F89" i="37" l="1"/>
  <c r="K36" i="37"/>
  <c r="D89" i="37"/>
  <c r="L89" i="37" s="1"/>
  <c r="C89" i="37"/>
  <c r="H89" i="37" s="1"/>
  <c r="S70" i="37"/>
  <c r="X70" i="37" s="1"/>
  <c r="U70" i="37"/>
  <c r="W70" i="37"/>
  <c r="T70" i="37"/>
  <c r="Y70" i="37" s="1"/>
  <c r="R70" i="37"/>
  <c r="K89" i="37" l="1"/>
  <c r="I89" i="37"/>
  <c r="G89" i="37"/>
  <c r="J89" i="37" s="1"/>
  <c r="I36" i="37" s="1"/>
  <c r="E36" i="37" s="1"/>
  <c r="Z70" i="37"/>
  <c r="AA70" i="37"/>
  <c r="N89" i="37" l="1"/>
  <c r="J36" i="37" s="1"/>
  <c r="AB70" i="37"/>
  <c r="O89" i="37"/>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<sst xmlns="http://schemas.openxmlformats.org/spreadsheetml/2006/main" count="6673" uniqueCount="4044">
  <si>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</si>
  <si>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</si>
  <si>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</si>
  <si>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</si>
  <si>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</si>
  <si>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</si>
  <si>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</si>
  <si>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</si>
  <si>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</si>
  <si>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</si>
  <si>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</si>
  <si>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</si>
  <si>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</si>
  <si>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</si>
  <si>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</si>
  <si>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</si>
  <si>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</si>
  <si>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</si>
  <si>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</si>
  <si>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</si>
  <si>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</si>
  <si>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</si>
  <si>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</si>
  <si>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</si>
  <si>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</si>
  <si>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</si>
  <si>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</si>
  <si>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</si>
  <si>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</si>
  <si>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</si>
  <si>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</si>
  <si>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</si>
  <si>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</si>
  <si>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</si>
  <si>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</si>
  <si>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</si>
  <si>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</si>
  <si>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</si>
  <si>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</si>
  <si>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</si>
  <si>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</si>
  <si>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</si>
  <si>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</si>
  <si>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</si>
  <si>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</si>
  <si>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</si>
  <si>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</si>
  <si>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</si>
  <si>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</si>
  <si>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</si>
  <si>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</si>
  <si>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</si>
  <si>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</si>
  <si>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</si>
  <si>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</si>
  <si>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</si>
  <si>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</si>
  <si>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</si>
  <si>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</si>
  <si>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</si>
  <si>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</si>
  <si>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</si>
  <si>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</si>
  <si>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</si>
  <si>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</si>
  <si>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</si>
  <si>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</si>
  <si>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</si>
  <si>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</si>
  <si>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</si>
  <si>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</si>
  <si>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</si>
  <si>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</si>
  <si>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</si>
  <si>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</si>
  <si>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</si>
  <si>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</si>
  <si>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</si>
  <si>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</si>
  <si>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</si>
  <si>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</si>
  <si>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</si>
  <si>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</si>
  <si>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</si>
  <si>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</si>
  <si>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</si>
  <si>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</si>
  <si>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</si>
  <si>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</si>
  <si>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</si>
  <si>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</si>
  <si>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</si>
  <si>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</si>
  <si>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</si>
  <si>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</si>
  <si>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</si>
  <si>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</si>
  <si>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</si>
  <si>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</si>
  <si>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</si>
  <si>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</si>
  <si>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</si>
  <si>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</si>
  <si>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</si>
  <si>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</si>
  <si>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</si>
  <si>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</si>
  <si>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</si>
  <si>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</si>
  <si>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</si>
  <si>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</si>
  <si>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</si>
  <si>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</si>
  <si>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</si>
  <si>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</si>
  <si>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</si>
  <si>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</si>
  <si>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</si>
  <si>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</si>
  <si>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</si>
  <si>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</si>
  <si>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</si>
  <si>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</si>
  <si>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</si>
  <si>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</si>
  <si>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</si>
  <si>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</si>
  <si>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</si>
  <si>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</si>
  <si>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</si>
  <si>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</si>
  <si>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</si>
  <si>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</si>
  <si>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</si>
  <si>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</si>
  <si>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</si>
  <si>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</si>
  <si>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</si>
  <si>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</si>
  <si>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</si>
  <si>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</si>
  <si>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</si>
  <si>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</si>
  <si>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</si>
  <si>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</si>
  <si>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</si>
  <si>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</si>
  <si>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</si>
  <si>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</si>
  <si>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</si>
  <si>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</si>
  <si>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</si>
  <si>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</si>
  <si>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</si>
  <si>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</si>
  <si>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</si>
  <si>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</si>
  <si>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</si>
  <si>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</si>
  <si>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</si>
  <si>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</si>
  <si>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</si>
  <si>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</si>
  <si>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</si>
  <si>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</si>
  <si>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</si>
  <si>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</si>
  <si>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</si>
  <si>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</si>
  <si>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</si>
  <si>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</si>
  <si>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</si>
  <si>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</si>
  <si>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</si>
  <si>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</si>
  <si>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</si>
  <si>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</si>
  <si>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</si>
  <si>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</si>
  <si>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</si>
  <si>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</si>
  <si>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</si>
  <si>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</si>
  <si>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</si>
  <si>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</si>
  <si>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</si>
  <si>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</si>
  <si>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</si>
  <si>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</si>
  <si>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</si>
  <si>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</si>
  <si>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</si>
  <si>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</si>
  <si>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</si>
  <si>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</si>
  <si>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</si>
  <si>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</si>
  <si>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</si>
  <si>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</si>
  <si>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</si>
  <si>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</si>
  <si>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</si>
  <si>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</si>
  <si>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</si>
  <si>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</si>
  <si>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</si>
  <si>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</si>
  <si>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</si>
  <si>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</si>
  <si>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</si>
  <si>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</si>
  <si>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</si>
  <si>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</si>
  <si>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</si>
  <si>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</si>
  <si>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</si>
  <si>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</si>
  <si>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</si>
  <si>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</si>
  <si>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</si>
  <si>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</si>
  <si>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</si>
  <si>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</si>
  <si>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</si>
  <si>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</si>
  <si>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</si>
  <si>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</si>
  <si>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</si>
  <si>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</si>
  <si>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</si>
  <si>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</si>
  <si>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</si>
  <si>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</si>
  <si>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</si>
  <si>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</si>
  <si>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</si>
  <si>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</si>
  <si>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</si>
  <si>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</si>
  <si>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</si>
  <si>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</si>
  <si>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</si>
  <si>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</si>
  <si>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</si>
  <si>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</si>
  <si>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</si>
  <si>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</si>
  <si>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</si>
  <si>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</si>
  <si>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</si>
  <si>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</si>
  <si>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</si>
  <si>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</si>
  <si>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</si>
  <si>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</si>
  <si>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</si>
  <si>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</si>
  <si>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</si>
  <si>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</si>
  <si>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</si>
  <si>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</si>
  <si>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</si>
  <si>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</si>
  <si>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</si>
  <si>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</si>
  <si>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</si>
  <si>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</si>
  <si>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</si>
  <si>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</si>
  <si>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</si>
  <si>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</si>
  <si>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</si>
  <si>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</si>
  <si>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</si>
  <si>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</si>
  <si>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</si>
  <si>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</si>
  <si>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</si>
  <si>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</si>
  <si>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</si>
  <si>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</si>
  <si>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</si>
  <si>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</si>
  <si>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</si>
  <si>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</si>
  <si>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</si>
  <si>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</si>
  <si>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</si>
  <si>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</si>
  <si>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</si>
  <si>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</si>
  <si>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</si>
  <si>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</si>
  <si>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</si>
  <si>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</si>
  <si>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</si>
  <si>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</si>
  <si>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</si>
  <si>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</si>
  <si>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</si>
  <si>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</si>
  <si>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</si>
  <si>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</si>
  <si>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</si>
  <si>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</si>
  <si>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</si>
  <si>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</si>
  <si>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</si>
  <si>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</si>
  <si>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</si>
  <si>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</si>
  <si>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</si>
  <si>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</si>
  <si>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</si>
  <si>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</si>
  <si>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</si>
  <si>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</si>
  <si>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</si>
  <si>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</si>
  <si>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</si>
  <si>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</si>
  <si>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</si>
  <si>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</si>
  <si>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</si>
  <si>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</si>
  <si>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</si>
  <si>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</si>
  <si>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</si>
  <si>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</si>
  <si>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</si>
  <si>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</si>
  <si>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</si>
  <si>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</si>
  <si>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</si>
  <si>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</si>
  <si>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</si>
  <si>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</si>
  <si>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</si>
  <si>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</si>
  <si>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</si>
  <si>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</si>
  <si>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</si>
  <si>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</si>
  <si>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</si>
  <si>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</si>
  <si>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</si>
  <si>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</si>
  <si>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</si>
  <si>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</si>
  <si>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</si>
  <si>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</si>
  <si>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</si>
  <si>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</si>
  <si>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</si>
  <si>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</si>
  <si>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</si>
  <si>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</si>
  <si>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</si>
  <si>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</si>
  <si>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</si>
  <si>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</si>
  <si>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</si>
  <si>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</si>
  <si>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</si>
  <si>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</si>
  <si>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</si>
  <si>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</si>
  <si>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</si>
  <si>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</si>
  <si>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</si>
  <si>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</si>
  <si>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</si>
  <si>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</si>
  <si>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</si>
  <si>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</si>
  <si>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</si>
  <si>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</si>
  <si>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</si>
  <si>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</si>
  <si>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</si>
  <si>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</si>
  <si>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</si>
  <si>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</si>
  <si>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</si>
  <si>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</si>
  <si>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</si>
  <si>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</si>
  <si>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</si>
  <si>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</si>
  <si>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</si>
  <si>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</si>
  <si>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</si>
  <si>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</si>
  <si>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</si>
  <si>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</si>
  <si>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</si>
  <si>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</si>
  <si>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</si>
  <si>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</si>
  <si>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</si>
  <si>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</si>
  <si>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</si>
  <si>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</si>
  <si>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</si>
  <si>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</si>
  <si>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</si>
  <si>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</si>
  <si>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</si>
  <si>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</si>
  <si>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</si>
  <si>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</si>
  <si>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</si>
  <si>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</si>
  <si>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</si>
  <si>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</si>
  <si>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</si>
  <si>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</si>
  <si>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</si>
  <si>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</si>
  <si>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</si>
  <si>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</si>
  <si>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</si>
  <si>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</si>
  <si>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</si>
  <si>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</si>
  <si>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</si>
  <si>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</si>
  <si>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</si>
  <si>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</si>
  <si>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</si>
  <si>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</si>
  <si>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</si>
  <si>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</si>
  <si>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</si>
  <si>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</si>
  <si>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</si>
  <si>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</si>
  <si>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</si>
  <si>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</si>
  <si>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</si>
  <si>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</si>
  <si>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</si>
  <si>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</si>
  <si>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</si>
  <si>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</si>
  <si>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</si>
  <si>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</si>
  <si>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</si>
  <si>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</si>
  <si>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</si>
  <si>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</si>
  <si>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</si>
  <si>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</si>
  <si>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</si>
  <si>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</si>
  <si>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</si>
  <si>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</si>
  <si>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</si>
  <si>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</si>
  <si>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</si>
  <si>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</si>
  <si>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</si>
  <si>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</si>
  <si>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</si>
  <si>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</si>
  <si>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</si>
  <si>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</si>
  <si>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</si>
  <si>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</si>
  <si>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</si>
  <si>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</si>
  <si>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</si>
  <si>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</si>
  <si>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</si>
  <si>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</si>
  <si>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</si>
  <si>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</si>
  <si>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</si>
  <si>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</si>
  <si>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</si>
  <si>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</si>
  <si>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</si>
  <si>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</si>
  <si>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</si>
  <si>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</si>
  <si>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</si>
  <si>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</si>
  <si>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</si>
  <si>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</si>
  <si>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</si>
  <si>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</si>
  <si>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</si>
  <si>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</si>
  <si>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</si>
  <si>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</si>
  <si>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</si>
  <si>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</si>
  <si>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</si>
  <si>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</si>
  <si>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</si>
  <si>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</si>
  <si>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</si>
  <si>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</si>
  <si>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</si>
  <si>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</si>
  <si>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</si>
  <si>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</si>
  <si>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</si>
  <si>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</si>
  <si>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</si>
  <si>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</si>
  <si>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</si>
  <si>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</si>
  <si>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</si>
  <si>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</si>
  <si>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</si>
  <si>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</si>
  <si>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</si>
  <si>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</si>
  <si>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</si>
  <si>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</si>
  <si>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</si>
  <si>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</si>
  <si>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</si>
  <si>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</si>
  <si>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</si>
  <si>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</si>
  <si>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</si>
  <si>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</si>
  <si>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</si>
  <si>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</si>
  <si>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</si>
  <si>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</si>
  <si>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</si>
  <si>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</si>
  <si>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</si>
  <si>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</si>
  <si>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</si>
  <si>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</si>
  <si>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</si>
  <si>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</si>
  <si>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</si>
  <si>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</si>
  <si>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</si>
  <si>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</si>
  <si>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</si>
  <si>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</si>
  <si>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</si>
  <si>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</si>
  <si>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</si>
  <si>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</si>
  <si>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</si>
  <si>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</si>
  <si>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</si>
  <si>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</si>
  <si>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</si>
  <si>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</si>
  <si>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</si>
  <si>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</si>
  <si>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</si>
  <si>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</si>
  <si>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</si>
  <si>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</si>
  <si>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</si>
  <si>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</si>
  <si>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</si>
  <si>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</si>
  <si>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</si>
  <si>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</si>
  <si>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</si>
  <si>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</si>
  <si>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</si>
  <si>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</si>
  <si>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</si>
  <si>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</si>
  <si>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</si>
  <si>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</si>
  <si>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</si>
  <si>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</si>
  <si>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</si>
  <si>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</si>
  <si>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</si>
  <si>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</si>
  <si>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</si>
  <si>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</si>
  <si>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</si>
  <si>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</si>
  <si>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</si>
  <si>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</si>
  <si>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</si>
  <si>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</si>
  <si>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</si>
  <si>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</si>
  <si>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</si>
  <si>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</si>
  <si>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</si>
  <si>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</si>
  <si>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</si>
  <si>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</si>
  <si>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</si>
  <si>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</si>
  <si>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</si>
  <si>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</si>
  <si>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</si>
  <si>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</si>
  <si>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</si>
  <si>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</si>
  <si>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</si>
  <si>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</si>
  <si>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</si>
  <si>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</si>
  <si>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</si>
  <si>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</si>
  <si>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</si>
  <si>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</si>
  <si>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</si>
  <si>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</si>
  <si>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</si>
  <si>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</si>
  <si>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</si>
  <si>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</si>
  <si>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</si>
  <si>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</si>
  <si>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</si>
  <si>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</si>
  <si>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</si>
  <si>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</si>
  <si>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</si>
  <si>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</si>
  <si>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</si>
  <si>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</si>
  <si>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</si>
  <si>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</si>
  <si>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</si>
  <si>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</si>
  <si>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</si>
  <si>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</si>
  <si>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</si>
  <si>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</si>
  <si>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</si>
  <si>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</si>
  <si>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</si>
  <si>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</si>
  <si>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</si>
  <si>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</si>
  <si>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</si>
  <si>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</si>
  <si>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</si>
  <si>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</si>
  <si>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</si>
  <si>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</si>
  <si>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</si>
  <si>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</si>
  <si>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</si>
  <si>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</si>
  <si>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</si>
  <si>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</si>
  <si>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</si>
  <si>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</si>
  <si>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</si>
  <si>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</si>
  <si>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</si>
  <si>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</si>
  <si>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</si>
  <si>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</si>
  <si>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</si>
  <si>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</si>
  <si>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</si>
  <si>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</si>
  <si>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</si>
  <si>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</si>
  <si>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</si>
  <si>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</si>
  <si>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</si>
  <si>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</si>
  <si>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</si>
  <si>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</si>
  <si>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</si>
  <si>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</si>
  <si>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</si>
  <si>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</si>
  <si>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</si>
  <si>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</si>
  <si>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</si>
  <si>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</si>
  <si>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</si>
  <si>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</si>
  <si>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</si>
  <si>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</si>
  <si>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</si>
  <si>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</si>
  <si>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</si>
  <si>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</si>
  <si>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</si>
  <si>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</si>
  <si>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</si>
  <si>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</si>
  <si>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</si>
  <si>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</si>
  <si>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</si>
  <si>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</si>
  <si>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</si>
  <si>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</si>
  <si>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</si>
  <si>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</si>
  <si>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</si>
  <si>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</si>
  <si>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</si>
  <si>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</si>
  <si>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</si>
  <si>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</si>
  <si>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</si>
  <si>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</si>
  <si>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</si>
  <si>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</si>
  <si>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</si>
  <si>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</si>
  <si>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</si>
  <si>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</si>
  <si>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</si>
  <si>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</si>
  <si>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</si>
  <si>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</si>
  <si>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</si>
  <si>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</si>
  <si>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</si>
  <si>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</si>
  <si>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</si>
  <si>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</si>
  <si>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</si>
  <si>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</si>
  <si>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</si>
  <si>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</si>
  <si>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</si>
  <si>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</si>
  <si>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</si>
  <si>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</si>
  <si>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</si>
  <si>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</si>
  <si>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</si>
  <si>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</si>
  <si>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</si>
  <si>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</si>
  <si>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</si>
  <si>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</si>
  <si>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</si>
  <si>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</si>
  <si>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</si>
  <si>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</si>
  <si>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</si>
  <si>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</si>
  <si>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</si>
  <si>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</si>
  <si>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</si>
  <si>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</si>
  <si>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</si>
  <si>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</si>
  <si>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</si>
  <si>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</si>
  <si>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</si>
  <si>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</si>
  <si>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</si>
  <si>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</si>
  <si>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</si>
  <si>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</si>
  <si>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</si>
  <si>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</si>
  <si>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</si>
  <si>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</si>
  <si>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</si>
  <si>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</si>
  <si>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</si>
  <si>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</si>
  <si>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</si>
  <si>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</si>
  <si>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</si>
  <si>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</si>
  <si>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</si>
  <si>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</si>
  <si>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</si>
  <si>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</si>
  <si>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</si>
  <si>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</si>
  <si>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</si>
  <si>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</si>
  <si>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</si>
  <si>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</si>
  <si>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</si>
  <si>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</si>
  <si>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</si>
  <si>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</si>
  <si>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</si>
  <si>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</si>
  <si>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</si>
  <si>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</si>
  <si>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</si>
  <si>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</si>
  <si>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</si>
  <si>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</si>
  <si>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</si>
  <si>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</si>
  <si>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</si>
  <si>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</si>
  <si>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</si>
  <si>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</si>
  <si>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</si>
  <si>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</si>
  <si>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</si>
  <si>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</si>
  <si>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</si>
  <si>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</si>
  <si>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</si>
  <si>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</si>
  <si>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</si>
  <si>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</si>
  <si>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</si>
  <si>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</si>
  <si>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</si>
  <si>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</si>
  <si>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</si>
  <si>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</si>
  <si>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</si>
  <si>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</si>
  <si>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</si>
  <si>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</si>
  <si>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</si>
  <si>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</si>
  <si>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</si>
  <si>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</si>
  <si>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</si>
  <si>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</si>
  <si>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</si>
  <si>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</si>
  <si>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</si>
  <si>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</si>
  <si>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</si>
  <si>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</si>
  <si>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</si>
  <si>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</si>
  <si>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</si>
  <si>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</si>
  <si>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</si>
  <si>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</si>
  <si>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</si>
  <si>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</si>
  <si>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</si>
  <si>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</si>
  <si>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</si>
  <si>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</si>
  <si>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</si>
  <si>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</si>
  <si>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</si>
  <si>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</si>
  <si>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</si>
  <si>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</si>
  <si>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</si>
  <si>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</si>
  <si>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</si>
  <si>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</si>
  <si>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</si>
  <si>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</si>
  <si>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</si>
  <si>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</si>
  <si>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</si>
  <si>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</si>
  <si>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</si>
  <si>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</si>
  <si>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</si>
  <si>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</si>
  <si>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</si>
  <si>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</si>
  <si>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</si>
  <si>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</si>
  <si>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</si>
  <si>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</si>
  <si>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</si>
  <si>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</si>
  <si>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</si>
  <si>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</si>
  <si>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</si>
  <si>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</si>
  <si>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</si>
  <si>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</si>
  <si>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</si>
  <si>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</si>
  <si>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</si>
  <si>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</si>
  <si>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</si>
  <si>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</si>
  <si>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</si>
  <si>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</si>
  <si>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</si>
  <si>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</si>
  <si>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</si>
  <si>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</si>
  <si>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</si>
  <si>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</si>
  <si>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</si>
  <si>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</si>
  <si>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</si>
  <si>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</si>
  <si>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</si>
  <si>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</si>
  <si>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</si>
  <si>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</si>
  <si>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</si>
  <si>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</si>
  <si>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</si>
  <si>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</si>
  <si>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</si>
  <si>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</si>
  <si>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</si>
  <si>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</si>
  <si>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</si>
  <si>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</si>
  <si>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</si>
  <si>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</si>
  <si>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</si>
  <si>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</si>
  <si>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</si>
  <si>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</si>
  <si>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</si>
  <si>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</si>
  <si>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</si>
  <si>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</si>
  <si>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</si>
  <si>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</si>
  <si>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</si>
  <si>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</si>
  <si>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</si>
  <si>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</si>
  <si>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</si>
  <si>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</si>
  <si>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</si>
  <si>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</si>
  <si>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</si>
  <si>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</si>
  <si>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</si>
  <si>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</si>
  <si>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</si>
  <si>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</si>
  <si>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</si>
  <si>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</si>
  <si>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</si>
  <si>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</si>
  <si>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</si>
  <si>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</si>
  <si>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</si>
  <si>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</si>
  <si>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</si>
  <si>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</si>
  <si>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</si>
  <si>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</si>
  <si>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</si>
  <si>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</si>
  <si>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</si>
  <si>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</si>
  <si>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</si>
  <si>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</si>
  <si>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</si>
  <si>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</si>
  <si>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</si>
  <si>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</si>
  <si>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</si>
  <si>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</si>
  <si>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</si>
  <si>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</si>
  <si>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</si>
  <si>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</si>
  <si>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</si>
  <si>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</si>
  <si>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</si>
  <si>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</si>
  <si>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</si>
  <si>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</si>
  <si>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</si>
  <si>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</si>
  <si>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</si>
  <si>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</si>
  <si>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</si>
  <si>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</si>
  <si>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</si>
  <si>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</si>
  <si>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</si>
  <si>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</si>
  <si>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</si>
  <si>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</si>
  <si>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</si>
  <si>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</si>
  <si>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</si>
  <si>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</si>
  <si>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</si>
  <si>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</si>
  <si>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</si>
  <si>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</si>
  <si>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</si>
  <si>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</si>
  <si>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</si>
  <si>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</si>
  <si>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</si>
  <si>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</si>
  <si>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</si>
  <si>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</si>
  <si>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</si>
  <si>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</si>
  <si>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</si>
  <si>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</si>
  <si>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</si>
  <si>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</si>
  <si>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</si>
  <si>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</si>
  <si>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</si>
  <si>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</si>
  <si>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</si>
  <si>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</si>
  <si>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</si>
  <si>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</si>
  <si>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</si>
  <si>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</si>
  <si>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</si>
  <si>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</si>
  <si>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</si>
  <si>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</si>
  <si>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</si>
  <si>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</si>
  <si>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</si>
  <si>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</si>
  <si>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</si>
  <si>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</si>
  <si>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</si>
  <si>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</si>
  <si>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</si>
  <si>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</si>
  <si>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</si>
  <si>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</si>
  <si>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</si>
  <si>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</si>
  <si>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</si>
  <si>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</si>
  <si>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</si>
  <si>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</si>
  <si>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</si>
  <si>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</si>
  <si>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</si>
  <si>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</si>
  <si>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</si>
  <si>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</si>
  <si>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</si>
  <si>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</si>
  <si>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</si>
  <si>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</si>
  <si>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</si>
  <si>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</si>
  <si>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</si>
  <si>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</si>
  <si>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</si>
  <si>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</si>
  <si>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</si>
  <si>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</si>
  <si>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</si>
  <si>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</si>
  <si>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</si>
  <si>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</si>
  <si>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</si>
  <si>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</si>
  <si>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</si>
  <si>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</si>
  <si>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</si>
  <si>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</si>
  <si>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</si>
  <si>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</si>
  <si>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</si>
  <si>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</si>
  <si>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</si>
  <si>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</si>
  <si>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</si>
  <si>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</si>
  <si>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</si>
  <si>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</si>
  <si>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</si>
  <si>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</si>
  <si>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</si>
  <si>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</si>
  <si>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</si>
  <si>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</si>
  <si>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</si>
  <si>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</si>
  <si>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</si>
  <si>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</si>
  <si>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</si>
  <si>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</si>
  <si>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</si>
  <si>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</si>
  <si>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</si>
  <si>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</si>
  <si>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</si>
  <si>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</si>
  <si>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</si>
  <si>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</si>
  <si>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</si>
  <si>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</si>
  <si>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</si>
  <si>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</si>
  <si>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</si>
  <si>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</si>
  <si>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</si>
  <si>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</si>
  <si>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</si>
  <si>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</si>
  <si>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</si>
  <si>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</si>
  <si>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</si>
  <si>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</si>
  <si>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</si>
  <si>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</si>
  <si>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</si>
  <si>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</si>
  <si>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</si>
  <si>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</si>
  <si>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</si>
  <si>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</si>
  <si>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</si>
  <si>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</si>
  <si>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</si>
  <si>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</si>
  <si>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</si>
  <si>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</si>
  <si>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</si>
  <si>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</si>
  <si>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</si>
  <si>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</si>
  <si>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</si>
  <si>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</si>
  <si>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</si>
  <si>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</si>
  <si>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</si>
  <si>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</si>
  <si>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</si>
  <si>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</si>
  <si>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</si>
  <si>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</si>
  <si>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</si>
  <si>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</si>
  <si>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</si>
  <si>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</si>
  <si>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</si>
  <si>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</si>
  <si>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</si>
  <si>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</si>
  <si>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</si>
  <si>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</si>
  <si>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</si>
  <si>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</si>
  <si>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</si>
  <si>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</si>
  <si>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</si>
  <si>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</si>
  <si>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</si>
  <si>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</si>
  <si>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</si>
  <si>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</si>
  <si>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</si>
  <si>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</si>
  <si>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</si>
  <si>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</si>
  <si>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</si>
  <si>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</si>
  <si>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</si>
  <si>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</si>
  <si>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</si>
  <si>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</si>
  <si>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</si>
  <si>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</si>
  <si>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</si>
  <si>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</si>
  <si>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</si>
  <si>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</si>
  <si>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</si>
  <si>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</si>
  <si>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</si>
  <si>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</si>
  <si>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</si>
  <si>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</si>
  <si>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</si>
  <si>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</si>
  <si>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</si>
  <si>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</si>
  <si>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</si>
  <si>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</si>
  <si>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</si>
  <si>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</si>
  <si>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</si>
  <si>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</si>
  <si>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</si>
  <si>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</si>
  <si>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</si>
  <si>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</si>
  <si>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</si>
  <si>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</si>
  <si>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</si>
  <si>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</si>
  <si>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</si>
  <si>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</si>
  <si>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</si>
  <si>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</si>
  <si>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</si>
  <si>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</si>
  <si>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</si>
  <si>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</si>
  <si>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</si>
  <si>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</si>
  <si>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</si>
  <si>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</si>
  <si>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</si>
  <si>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</si>
  <si>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</si>
  <si>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</si>
  <si>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</si>
  <si>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</si>
  <si>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</si>
  <si>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</si>
  <si>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</si>
  <si>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</si>
  <si>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</si>
  <si>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</si>
  <si>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</si>
  <si>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</si>
  <si>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</si>
  <si>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</si>
  <si>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</si>
  <si>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</si>
  <si>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</si>
  <si>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</si>
  <si>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</si>
  <si>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</si>
  <si>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</si>
  <si>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</si>
  <si>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</si>
  <si>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</si>
  <si>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</si>
  <si>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</si>
  <si>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</si>
  <si>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</si>
  <si>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</si>
  <si>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</si>
  <si>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</si>
  <si>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</si>
  <si>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</si>
  <si>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</si>
  <si>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</si>
  <si>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</si>
  <si>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</si>
  <si>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</si>
  <si>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</si>
  <si>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</si>
  <si>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</si>
  <si>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</si>
  <si>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</si>
  <si>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</si>
  <si>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</si>
  <si>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</si>
  <si>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</si>
  <si>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</si>
  <si>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</si>
  <si>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</si>
  <si>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</si>
  <si>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</si>
  <si>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</si>
  <si>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</si>
  <si>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</si>
  <si>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</si>
  <si>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</si>
  <si>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</si>
  <si>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</si>
  <si>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</si>
  <si>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</si>
  <si>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</si>
  <si>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</si>
  <si>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</si>
  <si>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</si>
  <si>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</si>
  <si>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</si>
  <si>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</si>
  <si>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</si>
  <si>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</si>
  <si>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</si>
  <si>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</si>
  <si>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</si>
  <si>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</si>
  <si>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</si>
  <si>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</si>
  <si>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</si>
  <si>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</si>
  <si>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</si>
  <si>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</si>
  <si>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</si>
  <si>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</si>
  <si>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</si>
  <si>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</si>
  <si>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</si>
  <si>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</si>
  <si>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</si>
  <si>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</si>
  <si>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</si>
  <si>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</si>
  <si>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</si>
  <si>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</si>
  <si>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</si>
  <si>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</si>
  <si>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</si>
  <si>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</si>
  <si>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</si>
  <si>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</si>
  <si>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</si>
  <si>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</si>
  <si>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</si>
  <si>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</si>
  <si>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</si>
  <si>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</si>
  <si>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</si>
  <si>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</si>
  <si>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</si>
  <si>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</si>
  <si>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</si>
  <si>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</si>
  <si>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</si>
  <si>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</si>
  <si>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</si>
  <si>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</si>
  <si>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</si>
  <si>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</si>
  <si>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</si>
  <si>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</si>
  <si>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</si>
  <si>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</si>
  <si>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</si>
  <si>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</si>
  <si>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</si>
  <si>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</si>
  <si>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</si>
  <si>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</si>
  <si>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</si>
  <si>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</si>
  <si>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</si>
  <si>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</si>
  <si>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</si>
  <si>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</si>
  <si>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</si>
  <si>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</si>
  <si>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</si>
  <si>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</si>
  <si>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</si>
  <si>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</si>
  <si>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</si>
  <si>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</si>
  <si>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</si>
  <si>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</si>
  <si>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</si>
  <si>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</si>
  <si>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</si>
  <si>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</si>
  <si>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</si>
  <si>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</si>
  <si>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</si>
  <si>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</si>
  <si>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</si>
  <si>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</si>
  <si>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</si>
  <si>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</si>
  <si>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</si>
  <si>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</si>
  <si>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</si>
  <si>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</si>
  <si>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</si>
  <si>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</si>
  <si>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</si>
  <si>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</si>
  <si>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</si>
  <si>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</si>
  <si>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</si>
  <si>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</si>
  <si>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</si>
  <si>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</si>
  <si>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</si>
  <si>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</si>
  <si>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</si>
  <si>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</si>
  <si>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</si>
  <si>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</si>
  <si>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</si>
  <si>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</si>
  <si>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</si>
  <si>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</si>
  <si>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</si>
  <si>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</si>
  <si>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</si>
  <si>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</si>
  <si>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</si>
  <si>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</si>
  <si>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</si>
  <si>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</si>
  <si>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</si>
  <si>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</si>
  <si>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</si>
  <si>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</si>
  <si>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</si>
  <si>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</si>
  <si>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</si>
  <si>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</si>
  <si>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</si>
  <si>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</si>
  <si>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</si>
  <si>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</si>
  <si>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</si>
  <si>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</si>
  <si>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</si>
  <si>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</si>
  <si>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</si>
  <si>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</si>
  <si>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</si>
  <si>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</si>
  <si>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</si>
  <si>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</si>
  <si>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</si>
  <si>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</si>
  <si>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</si>
  <si>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</si>
  <si>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</si>
  <si>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</si>
  <si>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</si>
  <si>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</si>
  <si>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</si>
  <si>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</si>
  <si>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</si>
  <si>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</si>
  <si>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</si>
  <si>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</si>
  <si>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</si>
  <si>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</si>
  <si>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</si>
  <si>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</si>
  <si>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</si>
  <si>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</si>
  <si>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</si>
  <si>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</si>
  <si>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</si>
  <si>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</si>
  <si>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</si>
  <si>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</si>
  <si>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</si>
  <si>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</si>
  <si>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</si>
  <si>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</si>
  <si>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</si>
  <si>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</si>
  <si>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</si>
  <si>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</si>
  <si>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</si>
  <si>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</si>
  <si>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</si>
  <si>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</si>
  <si>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</si>
  <si>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</si>
  <si>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</si>
  <si>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</si>
  <si>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</si>
  <si>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</si>
  <si>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</si>
  <si>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</si>
  <si>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</si>
  <si>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</si>
  <si>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</si>
  <si>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</si>
  <si>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</si>
  <si>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</si>
  <si>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</si>
  <si>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</si>
  <si>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</si>
  <si>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</si>
  <si>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</si>
  <si>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</si>
  <si>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</si>
  <si>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</si>
  <si>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</si>
  <si>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</si>
  <si>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</si>
  <si>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</si>
  <si>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</si>
  <si>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</si>
  <si>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</si>
  <si>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</si>
  <si>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</si>
  <si>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</si>
  <si>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</si>
  <si>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</si>
  <si>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</si>
  <si>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</si>
  <si>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</si>
  <si>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</si>
  <si>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</si>
  <si>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</si>
  <si>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</si>
  <si>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</si>
  <si>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</si>
  <si>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</si>
  <si>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</si>
  <si>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</si>
  <si>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</si>
  <si>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</si>
  <si>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</si>
  <si>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</si>
  <si>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</si>
  <si>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</si>
  <si>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</si>
  <si>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</si>
  <si>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</si>
  <si>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</si>
  <si>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</si>
  <si>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</si>
  <si>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</si>
  <si>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</si>
  <si>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</si>
  <si>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</si>
  <si>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</si>
  <si>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</si>
  <si>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</si>
  <si>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</si>
  <si>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</si>
  <si>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</si>
  <si>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</si>
  <si>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</si>
  <si>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</si>
  <si>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</si>
  <si>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</si>
  <si>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</si>
  <si>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</si>
  <si>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</si>
  <si>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</si>
  <si>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</si>
  <si>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</si>
  <si>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</si>
  <si>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</si>
  <si>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</si>
  <si>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</si>
  <si>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</si>
  <si>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</si>
  <si>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</si>
  <si>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</si>
  <si>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</si>
  <si>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</si>
  <si>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</si>
  <si>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</si>
  <si>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</si>
  <si>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</si>
  <si>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</si>
  <si>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</si>
  <si>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</si>
  <si>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</si>
  <si>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</si>
  <si>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</si>
  <si>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</si>
  <si>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</si>
  <si>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</si>
  <si>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</si>
  <si>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</si>
  <si>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</si>
  <si>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</si>
  <si>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</si>
  <si>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</si>
  <si>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</si>
  <si>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</si>
  <si>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</si>
  <si>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</si>
  <si>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</si>
  <si>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</si>
  <si>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</si>
  <si>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</si>
  <si>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</si>
  <si>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</si>
  <si>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</si>
  <si>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</si>
  <si>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</si>
  <si>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</si>
  <si>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</si>
  <si>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</si>
  <si>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</si>
  <si>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</si>
  <si>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</si>
  <si>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</si>
  <si>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</si>
  <si>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</si>
  <si>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</si>
  <si>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</si>
  <si>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</si>
  <si>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</si>
  <si>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</si>
  <si>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</si>
  <si>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</si>
  <si>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</si>
  <si>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</si>
  <si>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</si>
  <si>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</si>
  <si>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</si>
  <si>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</si>
  <si>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</si>
  <si>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</si>
  <si>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</si>
  <si>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</si>
  <si>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</si>
  <si>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</si>
  <si>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</si>
  <si>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</si>
  <si>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</si>
  <si>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</si>
  <si>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</si>
  <si>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</si>
  <si>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</si>
  <si>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</si>
  <si>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</si>
  <si>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</si>
  <si>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</si>
  <si>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</si>
  <si>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</si>
  <si>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</si>
  <si>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</si>
  <si>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</si>
  <si>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</si>
  <si>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</si>
  <si>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</si>
  <si>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</si>
  <si>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</si>
  <si>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</si>
  <si>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</si>
  <si>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</si>
  <si>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</si>
  <si>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</si>
  <si>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</si>
  <si>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</si>
  <si>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</si>
  <si>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</si>
  <si>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</si>
  <si>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</si>
  <si>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</si>
  <si>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</si>
  <si>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</si>
  <si>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</si>
  <si>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</si>
  <si>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</si>
  <si>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</si>
  <si>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</si>
  <si>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</si>
  <si>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</si>
  <si>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</si>
  <si>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</si>
  <si>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</si>
  <si>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</si>
  <si>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</si>
  <si>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</si>
  <si>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</si>
  <si>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</si>
  <si>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</si>
  <si>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</si>
  <si>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</si>
  <si>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</si>
  <si>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</si>
  <si>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</si>
  <si>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</si>
  <si>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</si>
  <si>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</si>
  <si>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</si>
  <si>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</si>
  <si>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</si>
  <si>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</si>
  <si>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</si>
  <si>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</si>
  <si>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</si>
  <si>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</si>
  <si>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</si>
  <si>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</si>
  <si>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</si>
  <si>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</si>
  <si>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</si>
  <si>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</si>
  <si>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</si>
  <si>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</si>
  <si>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</si>
  <si>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</si>
  <si>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</si>
  <si>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</si>
  <si>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</si>
  <si>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</si>
  <si>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</si>
  <si>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</si>
  <si>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</si>
  <si>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</si>
  <si>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</si>
  <si>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</si>
  <si>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</si>
  <si>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</si>
  <si>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</si>
  <si>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</si>
  <si>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</si>
  <si>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</si>
  <si>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</si>
  <si>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</si>
  <si>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</si>
  <si>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</si>
  <si>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</si>
  <si>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</si>
  <si>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</si>
  <si>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</si>
  <si>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</si>
  <si>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</si>
  <si>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</si>
  <si>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</si>
  <si>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</si>
  <si>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</si>
  <si>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</si>
  <si>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</si>
  <si>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</si>
  <si>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</si>
  <si>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</si>
  <si>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</si>
  <si>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</si>
  <si>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</si>
  <si>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</si>
  <si>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</si>
  <si>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</si>
  <si>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</si>
  <si>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</si>
  <si>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</si>
  <si>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</si>
  <si>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</si>
  <si>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</si>
  <si>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</si>
  <si>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</si>
  <si>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</si>
  <si>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</si>
  <si>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</si>
  <si>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</si>
  <si>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</si>
  <si>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</si>
  <si>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</si>
  <si>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</si>
  <si>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</si>
  <si>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</si>
  <si>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</si>
  <si>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</si>
  <si>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</si>
  <si>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</si>
  <si>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</si>
  <si>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</si>
  <si>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</si>
  <si>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</si>
  <si>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</si>
  <si>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</si>
  <si>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</si>
  <si>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</si>
  <si>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</si>
  <si>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</si>
  <si>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</si>
  <si>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</si>
  <si>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</si>
  <si>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</si>
  <si>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</si>
  <si>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</si>
  <si>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</si>
  <si>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</si>
  <si>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</si>
  <si>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</si>
  <si>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</si>
  <si>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</si>
  <si>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</si>
  <si>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</si>
  <si>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</si>
  <si>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</si>
  <si>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</si>
  <si>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</si>
  <si>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</si>
  <si>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</si>
  <si>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</si>
  <si>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</si>
  <si>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</si>
  <si>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</si>
  <si>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</si>
  <si>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</si>
  <si>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</si>
  <si>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</si>
  <si>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</si>
  <si>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</si>
  <si>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</si>
  <si>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</si>
  <si>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</si>
  <si>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</si>
  <si>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</si>
  <si>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</si>
  <si>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</si>
  <si>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</si>
  <si>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</si>
  <si>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</si>
  <si>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</si>
  <si>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</si>
  <si>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</si>
  <si>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</si>
  <si>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</si>
  <si>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</si>
  <si>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</si>
  <si>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</si>
  <si>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</si>
  <si>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</si>
  <si>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</si>
  <si>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</si>
  <si>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</si>
  <si>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</si>
  <si>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</si>
  <si>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</si>
  <si>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</si>
  <si>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</si>
  <si>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</si>
  <si>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</si>
  <si>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</si>
  <si>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</si>
  <si>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</si>
  <si>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</si>
  <si>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</si>
  <si>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</si>
  <si>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</si>
  <si>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</si>
  <si>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</si>
  <si>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</si>
  <si>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</si>
  <si>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</si>
  <si>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</si>
  <si>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</si>
  <si>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</si>
  <si>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</si>
  <si>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</si>
  <si>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</si>
  <si>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</si>
  <si>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</si>
  <si>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</si>
  <si>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</si>
  <si>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</si>
  <si>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</si>
  <si>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</si>
  <si>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</si>
  <si>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</si>
  <si>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</si>
  <si>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</si>
  <si>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</si>
  <si>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</si>
  <si>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</si>
  <si>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</si>
  <si>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</si>
  <si>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</si>
  <si>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</si>
  <si>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</si>
  <si>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</si>
  <si>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</si>
  <si>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</si>
  <si>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</si>
  <si>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</si>
  <si>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</si>
  <si>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</si>
  <si>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</si>
  <si>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</si>
  <si>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</si>
  <si>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</si>
  <si>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</si>
  <si>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</si>
  <si>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</si>
  <si>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</si>
  <si>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</si>
  <si>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</si>
  <si>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</si>
  <si>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</si>
  <si>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</si>
  <si>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</si>
  <si>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</si>
  <si>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</si>
  <si>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</si>
  <si>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</si>
  <si>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</si>
  <si>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</si>
  <si>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</si>
  <si>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</si>
  <si>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</si>
  <si>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</si>
  <si>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</si>
  <si>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</si>
  <si>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</si>
  <si>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</si>
  <si>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</si>
  <si>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</si>
  <si>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</si>
  <si>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</si>
  <si>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</si>
  <si>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</si>
  <si>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</si>
  <si>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</si>
  <si>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</si>
  <si>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</si>
  <si>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</si>
  <si>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</si>
  <si>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</si>
  <si>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</si>
  <si>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</si>
  <si>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</si>
  <si>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</si>
  <si>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</si>
  <si>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</si>
  <si>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</si>
  <si>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</si>
  <si>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</si>
  <si>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</si>
  <si>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</si>
  <si>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</si>
  <si>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</si>
  <si>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</si>
  <si>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</si>
  <si>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</si>
  <si>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</si>
  <si>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</si>
  <si>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</si>
  <si>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</si>
  <si>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</si>
  <si>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</si>
  <si>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</si>
  <si>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</si>
  <si>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</si>
  <si>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</si>
  <si>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</si>
  <si>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</si>
  <si>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</si>
  <si>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</si>
  <si>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</si>
  <si>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</si>
  <si>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</si>
  <si>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</si>
  <si>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</si>
  <si>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</si>
  <si>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</si>
  <si>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</si>
  <si>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</si>
  <si>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</si>
  <si>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</si>
  <si>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</si>
  <si>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</si>
  <si>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</si>
  <si>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</si>
  <si>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</si>
  <si>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</si>
  <si>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</si>
  <si>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</si>
  <si>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</si>
  <si>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</si>
  <si>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</si>
  <si>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</si>
  <si>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</si>
  <si>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</si>
  <si>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</si>
  <si>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</si>
  <si>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</si>
  <si>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</si>
  <si>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</si>
  <si>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</si>
  <si>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</si>
  <si>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</si>
  <si>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</si>
  <si>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</si>
  <si>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</si>
  <si>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</si>
  <si>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</si>
  <si>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</si>
  <si>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</si>
  <si>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</si>
  <si>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</si>
  <si>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</si>
  <si>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</si>
  <si>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</si>
  <si>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</si>
  <si>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</si>
  <si>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</si>
  <si>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</si>
  <si>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</si>
  <si>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</si>
  <si>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</si>
  <si>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</si>
  <si>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</si>
  <si>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</si>
  <si>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</si>
  <si>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</si>
  <si>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</si>
  <si>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</si>
  <si>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</si>
  <si>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</si>
  <si>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</si>
  <si>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</si>
  <si>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</si>
  <si>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</si>
  <si>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</si>
  <si>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</si>
  <si>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</si>
  <si>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</si>
  <si>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</si>
  <si>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</si>
  <si>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</si>
  <si>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</si>
  <si>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</si>
  <si>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</si>
  <si>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</si>
  <si>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</si>
  <si>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</si>
  <si>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</si>
  <si>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</si>
  <si>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</si>
  <si>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</si>
  <si>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</si>
  <si>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</si>
  <si>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</si>
  <si>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</si>
  <si>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</si>
  <si>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</si>
  <si>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</si>
  <si>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</si>
  <si>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</si>
  <si>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</si>
  <si>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</si>
  <si>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</si>
  <si>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</si>
  <si>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</si>
  <si>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</si>
  <si>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</si>
  <si>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</si>
  <si>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</si>
  <si>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</si>
  <si>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</si>
  <si>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</si>
  <si>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</si>
  <si>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</si>
  <si>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</si>
  <si>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</si>
  <si>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</si>
  <si>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</si>
  <si>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</si>
  <si>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</si>
  <si>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</si>
  <si>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</si>
  <si>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</si>
  <si>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</si>
  <si>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</si>
  <si>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</si>
  <si>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</si>
  <si>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</si>
  <si>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</si>
  <si>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</si>
  <si>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</si>
  <si>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</si>
  <si>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</si>
  <si>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</si>
  <si>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</si>
  <si>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</si>
  <si>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</si>
  <si>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</si>
  <si>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</si>
  <si>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</si>
  <si>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</si>
  <si>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</si>
  <si>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</si>
  <si>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</si>
  <si>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</si>
  <si>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</si>
  <si>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</si>
  <si>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</si>
  <si>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</si>
  <si>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</si>
  <si>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</si>
  <si>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</si>
  <si>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</si>
  <si>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</si>
  <si>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</si>
  <si>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</si>
  <si>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</si>
  <si>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</si>
  <si>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</si>
  <si>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</si>
  <si>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</si>
  <si>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</si>
  <si>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</si>
  <si>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</si>
  <si>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</si>
  <si>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</si>
  <si>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</si>
  <si>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</si>
  <si>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</si>
  <si>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</si>
  <si>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</si>
  <si>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</si>
  <si>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</si>
  <si>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</si>
  <si>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</si>
  <si>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</si>
  <si>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</si>
  <si>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</si>
  <si>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</si>
  <si>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</si>
  <si>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</si>
  <si>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</si>
  <si>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</si>
  <si>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</si>
  <si>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</si>
  <si>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</si>
  <si>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</si>
  <si>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</si>
  <si>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</si>
  <si>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</si>
  <si>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</si>
  <si>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</si>
  <si>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</si>
  <si>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</si>
  <si>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</si>
  <si>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</si>
  <si>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</si>
  <si>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</si>
  <si>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</si>
  <si>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</si>
  <si>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</si>
  <si>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</si>
  <si>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</si>
  <si>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</si>
  <si>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</si>
  <si>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</si>
  <si>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</si>
  <si>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</si>
  <si>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</si>
  <si>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</si>
  <si>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</si>
  <si>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</si>
  <si>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</si>
  <si>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</si>
  <si>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</si>
  <si>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</si>
  <si>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</si>
  <si>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</si>
  <si>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</si>
  <si>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</si>
  <si>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</si>
  <si>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</si>
  <si>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</si>
  <si>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</si>
  <si>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</si>
  <si>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</si>
  <si>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</si>
  <si>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</si>
  <si>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</si>
  <si>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</si>
  <si>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</si>
  <si>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</si>
  <si>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</si>
  <si>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</si>
  <si>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</si>
  <si>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</si>
  <si>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</si>
  <si>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</si>
  <si>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</si>
  <si>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</si>
  <si>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</si>
  <si>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</si>
  <si>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</si>
  <si>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</si>
  <si>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</si>
  <si>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</si>
  <si>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</si>
  <si>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</si>
  <si>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</si>
  <si>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</si>
  <si>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</si>
  <si>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</si>
  <si>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</si>
  <si>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</si>
  <si>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</si>
  <si>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</si>
  <si>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</si>
  <si>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</si>
  <si>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</si>
  <si>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</si>
  <si>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</si>
  <si>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</si>
  <si>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</si>
  <si>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</si>
  <si>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</si>
  <si>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</si>
  <si>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</si>
  <si>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</si>
  <si>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</si>
  <si>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</si>
  <si>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</si>
  <si>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</si>
  <si>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</si>
  <si>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</si>
  <si>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</si>
  <si>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</si>
  <si>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</si>
  <si>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</si>
  <si>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</si>
  <si>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</si>
  <si>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</si>
  <si>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</si>
  <si>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</si>
  <si>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</si>
  <si>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</si>
  <si>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</si>
  <si>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</si>
  <si>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</si>
  <si>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</si>
  <si>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</si>
  <si>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</si>
  <si>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</si>
  <si>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</si>
  <si>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</si>
  <si>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</si>
  <si>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</si>
  <si>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</si>
  <si>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</si>
  <si>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</si>
  <si>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</si>
  <si>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</si>
  <si>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</si>
  <si>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</si>
  <si>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</si>
  <si>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</si>
  <si>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</si>
  <si>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</si>
  <si>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</si>
  <si>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</si>
  <si>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</si>
  <si>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</si>
  <si>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</si>
  <si>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</si>
  <si>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</si>
  <si>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</si>
  <si>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</si>
  <si>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</si>
  <si>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</si>
  <si>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</si>
  <si>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</si>
  <si>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</si>
  <si>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</si>
  <si>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</si>
  <si>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</si>
  <si>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</si>
  <si>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</si>
  <si>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</si>
  <si>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</si>
  <si>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</si>
  <si>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</si>
  <si>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</si>
  <si>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</si>
  <si>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</si>
  <si>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</si>
  <si>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</si>
  <si>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</si>
  <si>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</si>
  <si>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</si>
  <si>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</si>
  <si>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</si>
  <si>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</si>
  <si>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</si>
  <si>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</si>
  <si>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</si>
  <si>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</si>
  <si>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</si>
  <si>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</si>
  <si>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</si>
  <si>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</si>
  <si>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</si>
  <si>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</si>
  <si>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</si>
  <si>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</si>
  <si>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</si>
  <si>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</si>
  <si>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</si>
  <si>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</si>
  <si>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</si>
  <si>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</si>
  <si>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</si>
  <si>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</si>
  <si>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</si>
  <si>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</si>
  <si>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</si>
  <si>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</si>
  <si>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</si>
  <si>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</si>
  <si>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</si>
  <si>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</si>
  <si>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</si>
  <si>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</si>
  <si>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</si>
  <si>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</si>
  <si>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</si>
  <si>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</si>
  <si>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</si>
  <si>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</si>
  <si>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</si>
  <si>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</si>
  <si>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</si>
  <si>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</si>
  <si>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</si>
  <si>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</si>
  <si>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</si>
  <si>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</si>
  <si>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</si>
  <si>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</si>
  <si>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</si>
  <si>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</si>
  <si>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</si>
  <si>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</si>
  <si>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</si>
  <si>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</si>
  <si>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</si>
  <si>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</si>
  <si>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</si>
  <si>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</si>
  <si>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</si>
  <si>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</si>
  <si>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</si>
  <si>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</si>
  <si>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</si>
  <si>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</si>
  <si>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</si>
  <si>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</si>
  <si>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</si>
  <si>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</si>
  <si>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</si>
  <si>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</si>
  <si>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</si>
  <si>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</si>
  <si>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</si>
  <si>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</si>
  <si>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</si>
  <si>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</si>
  <si>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</si>
  <si>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</si>
  <si>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</si>
  <si>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</si>
  <si>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</si>
  <si>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</si>
  <si>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</si>
  <si>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</si>
  <si>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</si>
  <si>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</si>
  <si>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</si>
  <si>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</si>
  <si>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</si>
  <si>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</si>
  <si>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</si>
  <si>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</si>
  <si>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</si>
  <si>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</si>
  <si>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</si>
  <si>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</si>
  <si>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</si>
  <si>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</si>
  <si>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</si>
  <si>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</si>
  <si>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</si>
  <si>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</si>
  <si>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</si>
  <si>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</si>
  <si>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</si>
  <si>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</si>
  <si>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</si>
  <si>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</si>
  <si>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</si>
  <si>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</si>
  <si>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</si>
  <si>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</si>
  <si>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</si>
  <si>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</si>
  <si>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</si>
  <si>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</si>
  <si>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</si>
  <si>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</si>
  <si>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</si>
  <si>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</si>
  <si>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</si>
  <si>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</si>
  <si>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</si>
  <si>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</si>
  <si>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</si>
  <si>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</si>
  <si>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</si>
  <si>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</si>
  <si>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</si>
  <si>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</si>
  <si>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</si>
  <si>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</si>
  <si>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</si>
  <si>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</si>
  <si>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</si>
  <si>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</si>
  <si>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</si>
  <si>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</si>
  <si>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</si>
  <si>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</si>
  <si>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</si>
  <si>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</si>
  <si>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</si>
  <si>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</si>
  <si>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</si>
  <si>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</si>
  <si>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</si>
  <si>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</si>
  <si>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</si>
  <si>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</si>
  <si>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</si>
  <si>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</si>
  <si>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</si>
  <si>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</si>
  <si>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</si>
  <si>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</si>
  <si>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</si>
  <si>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</si>
  <si>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</si>
  <si>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</si>
  <si>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</si>
  <si>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</si>
  <si>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</si>
  <si>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</si>
  <si>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</si>
  <si>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</si>
  <si>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</si>
  <si>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</si>
  <si>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</si>
  <si>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</si>
  <si>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</si>
  <si>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</si>
  <si>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</si>
  <si>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</si>
  <si>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</si>
  <si>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</si>
  <si>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</si>
  <si>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</si>
  <si>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</si>
  <si>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</si>
  <si>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</si>
  <si>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</si>
  <si>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</si>
  <si>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</si>
  <si>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</si>
  <si>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</si>
  <si>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</si>
  <si>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</si>
  <si>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</si>
  <si>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</si>
  <si>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</si>
  <si>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</si>
  <si>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</si>
  <si>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</si>
  <si>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</si>
  <si>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</si>
  <si>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</si>
  <si>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</si>
  <si>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</si>
  <si>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</si>
  <si>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</si>
  <si>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</si>
  <si>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</si>
  <si>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</si>
  <si>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</si>
  <si>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</si>
  <si>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</si>
  <si>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</si>
  <si>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</si>
  <si>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</si>
  <si>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</si>
  <si>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</si>
  <si>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</si>
  <si>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</si>
  <si>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</si>
  <si>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</si>
  <si>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</si>
  <si>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</si>
  <si>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</si>
  <si>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</si>
  <si>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</si>
  <si>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</si>
  <si>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</si>
  <si>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</si>
  <si>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</si>
  <si>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</si>
  <si>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</si>
  <si>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</si>
  <si>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</si>
  <si>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</si>
  <si>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</si>
  <si>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</si>
  <si>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</si>
  <si>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</si>
  <si>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</si>
  <si>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</si>
  <si>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</si>
  <si>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</si>
  <si>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</si>
  <si>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</si>
  <si>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</si>
  <si>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</si>
  <si>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</si>
  <si>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</si>
  <si>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</si>
  <si>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</si>
  <si>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</si>
  <si>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</si>
  <si>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</si>
  <si>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</si>
  <si>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</si>
  <si>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</si>
  <si>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</si>
  <si>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</si>
  <si>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</si>
  <si>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</si>
  <si>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</si>
  <si>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</si>
  <si>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</si>
  <si>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</si>
  <si>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</si>
  <si>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</si>
  <si>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</si>
  <si>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</si>
  <si>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</si>
  <si>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</si>
  <si>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</si>
  <si>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</si>
  <si>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</si>
  <si>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</si>
  <si>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</si>
  <si>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</si>
  <si>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</si>
  <si>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</si>
  <si>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</si>
  <si>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</si>
  <si>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</si>
  <si>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</si>
  <si>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</si>
  <si>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</si>
  <si>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</si>
  <si>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</si>
  <si>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</si>
  <si>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</si>
  <si>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</si>
  <si>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</si>
  <si>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</si>
  <si>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</si>
  <si>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</si>
  <si>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</si>
  <si>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</si>
  <si>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</si>
  <si>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</si>
  <si>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</si>
  <si>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</si>
  <si>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</si>
  <si>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</si>
  <si>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</si>
  <si>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</si>
  <si>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</si>
  <si>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</si>
  <si>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</si>
  <si>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</si>
  <si>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</si>
  <si>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</si>
  <si>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</si>
  <si>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</si>
  <si>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</si>
  <si>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</si>
  <si>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</si>
  <si>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</si>
  <si>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</si>
  <si>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</si>
  <si>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</si>
  <si>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</si>
  <si>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</si>
  <si>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</si>
  <si>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</si>
  <si>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</si>
  <si>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</si>
  <si>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</si>
  <si>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</si>
  <si>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</si>
  <si>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</si>
  <si>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</si>
  <si>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</si>
  <si>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</si>
  <si>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</si>
  <si>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</si>
  <si>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</si>
  <si>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</si>
  <si>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</si>
  <si>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</si>
  <si>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</si>
  <si>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</si>
  <si>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</si>
  <si>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</si>
  <si>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</si>
  <si>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</si>
  <si>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</si>
  <si>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</si>
  <si>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</si>
  <si>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</si>
  <si>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</si>
  <si>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</si>
  <si>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</si>
  <si>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</si>
  <si>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</si>
  <si>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</si>
  <si>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</si>
  <si>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</si>
  <si>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</si>
  <si>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</si>
  <si>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</si>
  <si>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</si>
  <si>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</si>
  <si>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</si>
  <si>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</si>
  <si>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</si>
  <si>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</si>
  <si>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</si>
  <si>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</si>
  <si>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</si>
  <si>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</si>
  <si>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</si>
  <si>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</si>
  <si>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</si>
  <si>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</si>
  <si>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</si>
  <si>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</si>
  <si>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</si>
  <si>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</si>
  <si>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</si>
  <si>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</si>
  <si>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</si>
  <si>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</si>
  <si>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</si>
  <si>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</si>
  <si>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</si>
  <si>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</si>
  <si>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</si>
  <si>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</si>
  <si>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</si>
  <si>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</si>
  <si>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</si>
  <si>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</si>
  <si>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</si>
  <si>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</si>
  <si>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</si>
  <si>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</si>
  <si>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</si>
  <si>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</si>
  <si>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</si>
  <si>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</si>
  <si>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</si>
  <si>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</si>
  <si>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</si>
  <si>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</si>
  <si>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</si>
  <si>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</si>
  <si>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</si>
  <si>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</si>
  <si>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</si>
  <si>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</si>
  <si>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</si>
  <si>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</si>
  <si>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</si>
  <si>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</si>
  <si>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</si>
  <si>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</si>
  <si>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</si>
  <si>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</si>
  <si>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</si>
  <si>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</si>
  <si>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</si>
  <si>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</si>
  <si>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</si>
  <si>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</si>
  <si>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</si>
  <si>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</si>
  <si>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</si>
  <si>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</si>
  <si>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</si>
  <si>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</si>
  <si>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</si>
  <si>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</si>
  <si>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</si>
  <si>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</si>
  <si>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</si>
  <si>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</si>
  <si>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</si>
  <si>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</si>
  <si>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</si>
  <si>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</si>
  <si>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</si>
  <si>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</si>
  <si>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</si>
  <si>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</si>
  <si>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</si>
  <si>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</si>
  <si>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</si>
  <si>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</si>
  <si>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</si>
  <si>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</si>
  <si>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</si>
  <si>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</si>
  <si>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</si>
  <si>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</si>
  <si>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</si>
  <si>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</si>
  <si>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</si>
  <si>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</si>
  <si>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</si>
  <si>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</si>
  <si>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</si>
  <si>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</si>
  <si>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</si>
  <si>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</si>
  <si>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</si>
  <si>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</si>
  <si>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</si>
  <si>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</si>
  <si>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</si>
  <si>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</si>
  <si>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</si>
  <si>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</si>
  <si>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</si>
  <si>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</si>
  <si>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</si>
  <si>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</si>
  <si>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</si>
  <si>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</si>
  <si>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</si>
  <si>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</si>
  <si>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</si>
  <si>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</si>
  <si>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</si>
  <si>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</si>
  <si>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</si>
  <si>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</si>
  <si>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</si>
  <si>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</si>
  <si>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</si>
  <si>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</si>
  <si>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</si>
  <si>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</si>
  <si>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</si>
  <si>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</si>
  <si>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</si>
  <si>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</si>
  <si>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</si>
  <si>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</si>
  <si>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</si>
  <si>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</si>
  <si>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</si>
  <si>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</si>
  <si>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</si>
  <si>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</si>
  <si>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</si>
  <si>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</si>
  <si>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</si>
  <si>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</si>
  <si>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</si>
  <si>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</si>
  <si>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</si>
  <si>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</si>
  <si>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</si>
  <si>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</si>
  <si>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</si>
  <si>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</si>
  <si>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</si>
  <si>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</si>
  <si>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</si>
  <si>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</si>
  <si>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</si>
  <si>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</si>
  <si>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</si>
  <si>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</si>
  <si>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</si>
  <si>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</si>
  <si>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</si>
  <si>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</si>
  <si>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</si>
  <si>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</si>
  <si>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</si>
  <si>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</si>
  <si>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</si>
  <si>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</si>
  <si>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</si>
  <si>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</si>
  <si>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</si>
  <si>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</si>
  <si>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</si>
  <si>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</si>
  <si>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</si>
  <si>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</si>
  <si>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</si>
  <si>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</si>
  <si>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</si>
  <si>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</si>
  <si>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</si>
  <si>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</si>
  <si>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</si>
  <si>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</si>
  <si>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</si>
  <si>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</si>
  <si>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</si>
  <si>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</si>
  <si>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</si>
  <si>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</si>
  <si>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</si>
  <si>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</si>
  <si>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</si>
  <si>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</si>
  <si>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</si>
  <si>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</si>
  <si>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</si>
  <si>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</si>
  <si>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</si>
  <si>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</si>
  <si>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</si>
  <si>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</si>
  <si>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</si>
  <si>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</si>
  <si>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</si>
  <si>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</si>
  <si>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</si>
  <si>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</si>
  <si>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</si>
  <si>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</si>
  <si>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</si>
  <si>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</si>
  <si>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</si>
  <si>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</si>
  <si>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</si>
  <si>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</si>
  <si>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</si>
  <si>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</si>
  <si>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</si>
  <si>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</si>
  <si>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</si>
  <si>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</si>
  <si>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</si>
  <si>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</si>
  <si>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</si>
  <si>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</si>
  <si>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</si>
  <si>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</si>
  <si>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</si>
  <si>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</si>
  <si>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</si>
  <si>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</si>
  <si>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</si>
  <si>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</si>
  <si>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</si>
  <si>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</si>
  <si>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</si>
  <si>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</si>
  <si>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</si>
  <si>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</si>
  <si>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</si>
  <si>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</si>
  <si>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</si>
  <si>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</si>
  <si>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</si>
  <si>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</si>
  <si>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</si>
  <si>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</si>
  <si>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</si>
  <si>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</si>
  <si>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</si>
  <si>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</si>
  <si>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</si>
  <si>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</si>
  <si>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</si>
  <si>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</si>
  <si>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</si>
  <si>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</si>
  <si>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</si>
  <si>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</si>
  <si>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</si>
  <si>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</si>
  <si>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</si>
  <si>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</si>
  <si>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</si>
  <si>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</si>
  <si>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</si>
  <si>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</si>
  <si>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</si>
  <si>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</si>
  <si>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</si>
  <si>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</si>
  <si>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</si>
  <si>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</si>
  <si>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</si>
  <si>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</si>
  <si>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</si>
  <si>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</si>
  <si>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</si>
  <si>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</si>
  <si>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</si>
  <si>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</si>
  <si>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</si>
  <si>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</si>
  <si>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</si>
  <si>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</si>
  <si>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</si>
  <si>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</si>
  <si>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</si>
  <si>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</si>
  <si>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</si>
  <si>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</si>
  <si>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</si>
  <si>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</si>
  <si>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</si>
  <si>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</si>
  <si>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</si>
  <si>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</si>
  <si>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</si>
  <si>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</si>
  <si>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</si>
  <si>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</si>
  <si>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</si>
  <si>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</si>
  <si>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</si>
  <si>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</si>
  <si>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</si>
  <si>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</si>
  <si>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</si>
  <si>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</si>
  <si>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</si>
  <si>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</si>
  <si>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</si>
  <si>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</si>
  <si>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</si>
  <si>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</si>
  <si>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</si>
  <si>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</si>
  <si>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</si>
  <si>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</si>
  <si>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</si>
  <si>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</si>
  <si>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</si>
  <si>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</si>
  <si>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</si>
  <si>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</si>
  <si>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</si>
  <si>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</si>
  <si>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</si>
  <si>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</si>
  <si>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</si>
  <si>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</si>
  <si>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</si>
  <si>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</si>
  <si>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</si>
  <si>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</si>
  <si>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</si>
  <si>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</si>
  <si>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</si>
  <si>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</si>
  <si>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</si>
  <si>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</si>
  <si>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</si>
  <si>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</si>
  <si>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</si>
  <si>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</si>
  <si>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</si>
  <si>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</si>
  <si>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</si>
  <si>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</si>
  <si>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</si>
  <si>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</si>
  <si>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</si>
  <si>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</si>
  <si>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</si>
  <si>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</si>
  <si>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</si>
  <si>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</si>
  <si>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</si>
  <si>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</si>
  <si>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</si>
  <si>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</si>
  <si>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</si>
  <si>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</si>
  <si>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</si>
  <si>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</si>
  <si>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</si>
  <si>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</si>
  <si>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</si>
  <si>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</si>
  <si>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</si>
  <si>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</si>
  <si>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</si>
  <si>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</si>
  <si>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</si>
  <si>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</si>
  <si>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</si>
  <si>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</si>
  <si>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</si>
  <si>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</si>
  <si>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</si>
  <si>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</si>
  <si>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</si>
  <si>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</si>
  <si>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</si>
  <si>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</si>
  <si>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</si>
  <si>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</si>
  <si>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</si>
  <si>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</si>
  <si>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</si>
  <si>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</si>
  <si>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</si>
  <si>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</si>
  <si>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</si>
  <si>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</si>
  <si>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</si>
  <si>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</si>
  <si>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</si>
  <si>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</si>
  <si>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</si>
  <si>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</si>
  <si>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</si>
  <si>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</si>
  <si>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</si>
  <si>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</si>
  <si>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</si>
  <si>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</si>
  <si>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</si>
  <si>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</si>
  <si>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</si>
  <si>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</si>
  <si>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</si>
  <si>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</si>
  <si>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</si>
  <si>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</si>
  <si>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</si>
  <si>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</si>
  <si>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</si>
  <si>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</si>
  <si>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</si>
  <si>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</si>
  <si>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</si>
  <si>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</si>
  <si>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</si>
  <si>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</si>
  <si>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</si>
  <si>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</si>
  <si>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</si>
  <si>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</si>
  <si>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</si>
  <si>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</si>
  <si>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</si>
  <si>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</si>
  <si>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</si>
  <si>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</si>
  <si>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</si>
  <si>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</si>
  <si>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</si>
  <si>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</si>
  <si>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</si>
  <si>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</si>
  <si>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</si>
  <si>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</si>
  <si>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</si>
  <si>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</si>
  <si>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</si>
  <si>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</si>
  <si>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</si>
  <si>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</si>
  <si>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</si>
  <si>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</si>
  <si>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</si>
  <si>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</si>
  <si>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</si>
  <si>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</si>
  <si>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</si>
  <si>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</si>
  <si>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</si>
  <si>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</si>
  <si>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</si>
  <si>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</si>
  <si>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</si>
  <si>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</si>
  <si>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</si>
  <si>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</si>
  <si>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</si>
  <si>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</si>
  <si>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</si>
  <si>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</si>
  <si>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</si>
  <si>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</si>
  <si>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</si>
  <si>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</si>
  <si>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</si>
  <si>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</si>
  <si>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</si>
  <si>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</si>
  <si>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</si>
  <si>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</si>
  <si>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</si>
  <si>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</si>
  <si>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</si>
  <si>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</si>
  <si>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</si>
  <si>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</si>
  <si>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</si>
  <si>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</si>
  <si>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</si>
  <si>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</si>
  <si>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</si>
  <si>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</si>
  <si>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</si>
  <si>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</si>
  <si>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</si>
  <si>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</si>
  <si>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</si>
  <si>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</si>
  <si>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</si>
  <si>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</si>
  <si>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</si>
  <si>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</si>
  <si>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</si>
  <si>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</si>
  <si>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</si>
  <si>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</si>
  <si>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</si>
  <si>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</si>
  <si>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</si>
  <si>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</si>
  <si>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</si>
  <si>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</si>
  <si>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</si>
  <si>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</si>
  <si>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</si>
  <si>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</si>
  <si>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</si>
  <si>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</si>
  <si>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</si>
  <si>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</si>
  <si>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</si>
  <si>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</si>
  <si>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</si>
  <si>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</si>
  <si>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</si>
  <si>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</si>
  <si>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</si>
  <si>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</si>
  <si>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</si>
  <si>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</si>
  <si>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</si>
  <si>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</si>
  <si>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</si>
  <si>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</si>
  <si>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</si>
  <si>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</si>
  <si>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</si>
  <si>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</si>
  <si>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</si>
  <si>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</si>
  <si>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</si>
  <si>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</si>
  <si>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</si>
  <si>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</si>
  <si>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</si>
  <si>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</si>
  <si>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</si>
  <si>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</si>
  <si>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</si>
  <si>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</si>
  <si>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</si>
  <si>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</si>
  <si>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</si>
  <si>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</si>
  <si>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</si>
  <si>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</si>
  <si>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</si>
  <si>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</si>
  <si>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</si>
  <si>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</si>
  <si>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</si>
  <si>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</si>
  <si>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</si>
  <si>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</si>
  <si>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</si>
  <si>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</si>
  <si>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</si>
  <si>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</si>
  <si>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</si>
  <si>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</si>
  <si>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</si>
  <si>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</si>
  <si>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</si>
  <si>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</si>
  <si>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</si>
  <si>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</si>
  <si>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</si>
  <si>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</si>
  <si>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</si>
  <si>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</si>
  <si>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</si>
  <si>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</si>
  <si>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</si>
  <si>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</si>
  <si>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</si>
  <si>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</si>
  <si>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</si>
  <si>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</si>
  <si>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</si>
  <si>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</si>
  <si>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</si>
  <si>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</si>
  <si>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</si>
  <si>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</si>
  <si>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</si>
  <si>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</si>
  <si>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</si>
  <si>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</si>
  <si>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</si>
  <si>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</si>
  <si>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</si>
  <si>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</si>
  <si>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</si>
  <si>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</si>
  <si>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</si>
  <si>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</si>
  <si>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</si>
  <si>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</si>
  <si>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</si>
  <si>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</si>
  <si>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</si>
  <si>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</si>
  <si>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</si>
  <si>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</si>
  <si>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</si>
  <si>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</si>
  <si>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</si>
  <si>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</si>
  <si>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</si>
  <si>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</si>
  <si>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</si>
  <si>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</si>
  <si>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</si>
  <si>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</si>
  <si>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</si>
  <si>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</si>
  <si>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</si>
  <si>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</si>
  <si>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</si>
  <si>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</si>
  <si>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</si>
  <si>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</si>
  <si>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</si>
  <si>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</si>
  <si>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</si>
  <si>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</si>
  <si>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</si>
  <si>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</si>
  <si>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</si>
  <si>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</si>
  <si>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</si>
  <si>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</si>
  <si>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</si>
  <si>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</si>
  <si>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</si>
  <si>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</si>
  <si>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</si>
  <si>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</si>
  <si>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</si>
  <si>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</si>
  <si>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</si>
  <si>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</si>
  <si>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</si>
  <si>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</si>
  <si>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</si>
  <si>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</si>
  <si>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</si>
  <si>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</si>
  <si>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</si>
  <si>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</si>
  <si>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</si>
  <si>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</si>
  <si>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</si>
  <si>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</si>
  <si>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</si>
  <si>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</si>
  <si>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</si>
  <si>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</si>
  <si>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</si>
  <si>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</si>
  <si>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</si>
  <si>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</si>
  <si>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</si>
  <si>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</si>
  <si>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</si>
  <si>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</si>
  <si>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</si>
  <si>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</si>
  <si>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</si>
  <si>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</si>
  <si>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</si>
  <si>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</si>
  <si>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</si>
  <si>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</si>
  <si>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</si>
  <si>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</si>
  <si>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</si>
  <si>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</si>
  <si>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</si>
  <si>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</si>
  <si>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</si>
  <si>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</si>
  <si>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</si>
  <si>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</si>
  <si>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</si>
  <si>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</si>
  <si>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</si>
  <si>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</si>
  <si>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</si>
  <si>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</si>
  <si>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</si>
  <si>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</si>
  <si>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</si>
  <si>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</si>
  <si>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</si>
  <si>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</si>
  <si>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</si>
  <si>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</si>
  <si>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</si>
  <si>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</si>
  <si>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</si>
  <si>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</si>
  <si>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</si>
  <si>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</si>
  <si>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</si>
  <si>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</si>
  <si>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</si>
  <si>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</si>
  <si>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</si>
  <si>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</si>
  <si>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</si>
  <si>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</si>
  <si>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</si>
  <si>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</si>
  <si>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</si>
  <si>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</si>
  <si>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</si>
  <si>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</si>
  <si>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</si>
  <si>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</si>
  <si>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</si>
  <si>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</si>
  <si>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</si>
  <si>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</si>
  <si>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</si>
  <si>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</si>
  <si>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</si>
  <si>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</si>
  <si>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</si>
  <si>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</si>
  <si>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</si>
  <si>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</si>
  <si>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</si>
  <si>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</si>
  <si>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</si>
  <si>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</si>
  <si>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</si>
  <si>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</si>
  <si>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</si>
  <si>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</si>
  <si>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</si>
  <si>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</si>
  <si>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</si>
  <si>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</si>
  <si>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</si>
  <si>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</si>
  <si>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</si>
  <si>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</si>
  <si>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</si>
  <si>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</si>
  <si>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</si>
  <si>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</si>
  <si>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</si>
  <si>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</si>
  <si>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</si>
  <si>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</si>
  <si>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</si>
  <si>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</si>
  <si>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</si>
  <si>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</si>
  <si>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</si>
  <si>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</si>
  <si>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</si>
  <si>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</si>
  <si>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</si>
  <si>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</si>
  <si>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</si>
  <si>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</si>
  <si>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</si>
  <si>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</si>
  <si>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</si>
  <si>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</si>
  <si>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</si>
  <si>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</si>
  <si>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</si>
  <si>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</si>
  <si>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</si>
  <si>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</si>
  <si>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</si>
  <si>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</si>
  <si>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</si>
  <si>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</si>
  <si>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</si>
  <si>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</si>
  <si>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</si>
  <si>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</si>
  <si>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</si>
  <si>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</si>
  <si>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</si>
  <si>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</si>
  <si>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</si>
  <si>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</si>
  <si>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</si>
  <si>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</si>
  <si>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</si>
  <si>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</si>
  <si>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</si>
  <si>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</si>
  <si>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</si>
  <si>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</si>
  <si>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</si>
  <si>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</si>
  <si>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</si>
  <si>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</si>
  <si>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</si>
  <si>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</si>
  <si>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</si>
  <si>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</si>
  <si>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</si>
  <si>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</si>
  <si>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</si>
  <si>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</si>
  <si>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</si>
  <si>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</si>
  <si>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</si>
  <si>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</si>
  <si>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</si>
  <si>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</si>
  <si>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</si>
  <si>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</si>
  <si>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</si>
  <si>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</si>
  <si>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</si>
  <si>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</si>
  <si>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</si>
  <si>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</si>
  <si>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</si>
  <si>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</si>
  <si>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</si>
  <si>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</si>
  <si>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</si>
  <si>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</si>
  <si>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</si>
  <si>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</si>
  <si>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</si>
  <si>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</si>
  <si>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</si>
  <si>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</si>
  <si>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</si>
  <si>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</si>
  <si>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</si>
  <si>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</si>
  <si>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</si>
  <si>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</si>
  <si>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</si>
  <si>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</si>
  <si>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</si>
  <si>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</si>
  <si>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</si>
  <si>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</si>
  <si>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</si>
  <si>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</si>
  <si>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</si>
  <si>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</si>
  <si>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</si>
  <si>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</si>
  <si>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</si>
  <si>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</si>
  <si>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</si>
  <si>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</si>
  <si>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</si>
  <si>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</si>
  <si>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</si>
  <si>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</si>
  <si>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</si>
  <si>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</si>
  <si>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</si>
  <si>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</si>
  <si>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</si>
  <si>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</si>
  <si>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</si>
  <si>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</si>
  <si>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</si>
  <si>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</si>
  <si>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</si>
  <si>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</si>
  <si>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</si>
  <si>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</si>
  <si>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</si>
  <si>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</si>
  <si>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</si>
  <si>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</si>
  <si>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</si>
  <si>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</si>
  <si>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</si>
  <si>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</si>
  <si>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</si>
  <si>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</si>
  <si>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</si>
  <si>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</si>
  <si>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</si>
  <si>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</si>
  <si>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</si>
  <si>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</si>
  <si>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</si>
  <si>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</si>
  <si>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</si>
  <si>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</si>
  <si>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</si>
  <si>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</si>
  <si>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</si>
  <si>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</si>
  <si>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</si>
  <si>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</si>
  <si>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</si>
  <si>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</si>
  <si>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</si>
  <si>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</si>
  <si>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</si>
  <si>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</si>
  <si>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</si>
  <si>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</si>
  <si>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</si>
  <si>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</si>
  <si>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</si>
  <si>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</si>
  <si>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</si>
  <si>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</si>
  <si>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</si>
  <si>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</si>
  <si>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</si>
  <si>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</si>
  <si>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</si>
  <si>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</si>
  <si>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</si>
  <si>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</si>
  <si>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</si>
  <si>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</si>
  <si>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</si>
  <si>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</si>
  <si>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</si>
  <si>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</si>
  <si>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</si>
  <si>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</si>
  <si>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</si>
  <si>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</si>
  <si>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</si>
  <si>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</si>
  <si>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</si>
  <si>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</si>
  <si>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</si>
  <si>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</si>
  <si>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</si>
  <si>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</si>
  <si>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</si>
  <si>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</si>
  <si>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</si>
  <si>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</si>
  <si>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</si>
  <si>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</si>
  <si>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</si>
  <si>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</si>
  <si>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</si>
  <si>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</si>
  <si>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</si>
  <si>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</si>
  <si>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</si>
  <si>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</si>
  <si>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</si>
  <si>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</si>
  <si>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</si>
  <si>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</si>
  <si>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</si>
  <si>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</si>
  <si>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</si>
  <si>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</si>
  <si>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</si>
  <si>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</si>
  <si>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</si>
  <si>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</si>
  <si>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</si>
  <si>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</si>
  <si>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</si>
  <si>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</si>
  <si>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</si>
  <si>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</si>
  <si>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</si>
  <si>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</si>
  <si>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</si>
  <si>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</si>
  <si>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</si>
  <si>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</si>
  <si>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</si>
  <si>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</si>
  <si>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</si>
  <si>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</si>
  <si>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</si>
  <si>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</si>
  <si>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</si>
  <si>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</si>
  <si>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</si>
  <si>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</si>
  <si>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</si>
  <si>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</si>
  <si>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</si>
  <si>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</si>
  <si>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</si>
  <si>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</si>
  <si>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</si>
  <si>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</si>
  <si>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</si>
  <si>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</si>
  <si>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</si>
  <si>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</si>
  <si>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</si>
  <si>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</si>
  <si>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</si>
  <si>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</si>
  <si>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</si>
  <si>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</si>
  <si>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</si>
  <si>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</si>
  <si>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</si>
  <si>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</si>
  <si>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</si>
  <si>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</si>
  <si>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</si>
  <si>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</si>
  <si>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</si>
  <si>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</si>
  <si>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</si>
  <si>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</si>
  <si>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</si>
  <si>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</si>
  <si>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</si>
  <si>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</si>
  <si>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</si>
  <si>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</si>
  <si>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</si>
  <si>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</si>
  <si>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</si>
  <si>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</si>
  <si>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</si>
  <si>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</si>
  <si>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</si>
  <si>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</si>
  <si>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</si>
  <si>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</si>
  <si>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</si>
  <si>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</si>
  <si>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</si>
  <si>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</si>
  <si>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</si>
  <si>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</si>
  <si>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</si>
  <si>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</si>
  <si>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</si>
  <si>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</si>
  <si>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</si>
  <si>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</si>
  <si>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</si>
  <si>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</si>
  <si>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</si>
  <si>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</si>
  <si>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</si>
  <si>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</si>
  <si>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</si>
  <si>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</si>
  <si>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</si>
  <si>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</si>
  <si>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</si>
  <si>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</si>
  <si>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</si>
  <si>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</si>
  <si>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</si>
  <si>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</si>
  <si>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</si>
  <si>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</si>
  <si>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</si>
  <si>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</si>
  <si>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</si>
  <si>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</si>
  <si>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</si>
  <si>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</si>
  <si>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</si>
  <si>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</si>
  <si>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</si>
  <si>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</si>
  <si>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</si>
  <si>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</si>
  <si>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</si>
  <si>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</si>
  <si>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</si>
  <si>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</si>
  <si>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</si>
  <si>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</si>
  <si>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</si>
  <si>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</si>
  <si>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</si>
  <si>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</si>
  <si>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</si>
  <si>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</si>
  <si>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</si>
  <si>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</si>
  <si>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</si>
  <si>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</si>
  <si>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</si>
  <si>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</si>
  <si>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</si>
  <si>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</si>
  <si>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</si>
  <si>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</si>
  <si>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</si>
  <si>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</si>
  <si>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</si>
  <si>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</si>
  <si>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</si>
  <si>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</si>
  <si>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</si>
  <si>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</si>
  <si>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</si>
  <si>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</si>
  <si>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</si>
  <si>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</si>
  <si>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</si>
  <si>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</si>
  <si>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</si>
  <si>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</si>
  <si>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</si>
  <si>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</si>
  <si>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</si>
  <si>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</si>
  <si>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</si>
  <si>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</si>
  <si>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</si>
  <si>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</si>
  <si>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</si>
  <si>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</si>
  <si>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</si>
  <si>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</si>
  <si>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</si>
  <si>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</si>
  <si>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</si>
  <si>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</si>
  <si>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</si>
  <si>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</si>
  <si>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</si>
  <si>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</si>
  <si>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</si>
  <si>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</si>
  <si>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</si>
  <si>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</si>
  <si>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</si>
  <si>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</si>
  <si>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</si>
  <si>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</si>
  <si>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</si>
  <si>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</si>
  <si>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</si>
  <si>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</si>
  <si>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</si>
  <si>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</si>
  <si>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</si>
  <si>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</si>
  <si>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</si>
  <si>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</si>
  <si>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</si>
  <si>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</si>
  <si>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</si>
  <si>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</si>
  <si>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</si>
  <si>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</si>
  <si>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</si>
  <si>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</si>
  <si>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</si>
  <si>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</si>
  <si>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</si>
  <si>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</si>
  <si>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</si>
  <si>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</si>
  <si>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</si>
  <si>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</si>
  <si>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</si>
  <si>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</si>
  <si>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</si>
  <si>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</si>
  <si>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</si>
  <si>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</si>
  <si>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</si>
  <si>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</si>
  <si>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</si>
  <si>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</si>
  <si>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</si>
  <si>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</si>
  <si>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</si>
  <si>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</si>
  <si>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</si>
  <si>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</si>
  <si>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</si>
  <si>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</si>
  <si>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</si>
  <si>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</si>
  <si>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</si>
  <si>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</si>
  <si>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</si>
  <si>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</si>
  <si>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</si>
  <si>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</si>
  <si>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</si>
  <si>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</si>
  <si>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</si>
  <si>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</si>
  <si>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</si>
  <si>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</si>
  <si>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</si>
  <si>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</si>
  <si>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</si>
  <si>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</si>
  <si>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</si>
  <si>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</si>
  <si>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</si>
  <si>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</si>
  <si>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</si>
  <si>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</si>
  <si>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</si>
  <si>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</si>
  <si>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</si>
  <si>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</si>
  <si>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</si>
  <si>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</si>
  <si>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</si>
  <si>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</si>
  <si>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</si>
  <si>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</si>
  <si>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</si>
  <si>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</si>
  <si>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</si>
  <si>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</si>
  <si>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</si>
  <si>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</si>
  <si>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</si>
  <si>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</si>
  <si>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</si>
  <si>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</si>
  <si>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</si>
  <si>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</si>
  <si>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</si>
  <si>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</si>
  <si>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</si>
  <si>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</si>
  <si>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</si>
  <si>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</si>
  <si>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</si>
  <si>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</si>
  <si>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</si>
  <si>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</si>
  <si>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</si>
  <si>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</si>
  <si>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</si>
  <si>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</si>
  <si>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</si>
  <si>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</si>
  <si>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</si>
  <si>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</si>
  <si>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</si>
  <si>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</si>
  <si>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</si>
  <si>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</si>
  <si>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</si>
  <si>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</si>
  <si>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</si>
  <si>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</si>
  <si>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</si>
  <si>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</si>
  <si>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</si>
  <si>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</si>
  <si>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</si>
  <si>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</si>
  <si>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</si>
  <si>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</si>
  <si>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</si>
  <si>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</si>
  <si>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</si>
  <si>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</si>
  <si>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</si>
  <si>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</si>
  <si>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</si>
  <si>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</si>
  <si>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</si>
  <si>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</si>
  <si>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</si>
  <si>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</si>
  <si>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</si>
  <si>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</si>
  <si>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</si>
  <si>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</si>
  <si>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</si>
  <si>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</si>
  <si>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</si>
  <si>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</si>
  <si>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</si>
  <si>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</si>
  <si>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</si>
  <si>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</si>
  <si>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</si>
  <si>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</si>
  <si>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</si>
  <si>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</si>
  <si>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</si>
  <si>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</si>
  <si>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</si>
  <si>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</si>
  <si>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</si>
  <si>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</si>
  <si>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</si>
  <si>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</si>
  <si>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</si>
  <si>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</si>
  <si>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</si>
  <si>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</si>
  <si>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</si>
  <si>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</si>
  <si>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</si>
  <si>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</si>
  <si>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</si>
  <si>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</si>
  <si>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</si>
  <si>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</si>
  <si>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</si>
  <si>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</si>
  <si>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</si>
  <si>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</si>
  <si>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</si>
  <si>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</si>
  <si>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</si>
  <si>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</si>
  <si>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</si>
  <si>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</si>
  <si>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</si>
  <si>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</si>
  <si>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</si>
  <si>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</si>
  <si>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</si>
  <si>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</si>
  <si>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</si>
  <si>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</si>
  <si>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</si>
  <si>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</si>
  <si>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</si>
  <si>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</si>
  <si>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</si>
  <si>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</si>
  <si>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</si>
  <si>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</si>
  <si>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</si>
  <si>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</si>
  <si>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</si>
  <si>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</si>
  <si>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</si>
  <si>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</si>
  <si>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</si>
  <si>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</si>
  <si>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</si>
  <si>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</si>
  <si>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</si>
  <si>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</si>
  <si>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</si>
  <si>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</si>
  <si>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</si>
  <si>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</si>
  <si>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</si>
  <si>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</si>
  <si>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</si>
  <si>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</si>
  <si>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</si>
  <si>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</si>
  <si>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</si>
  <si>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</si>
  <si>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</si>
  <si>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</si>
  <si>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</si>
  <si>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</si>
  <si>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</si>
  <si>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</si>
  <si>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</si>
  <si>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</si>
  <si>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</si>
  <si>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</si>
  <si>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</si>
  <si>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</si>
  <si>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</si>
  <si>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</si>
  <si>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</si>
  <si>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</si>
  <si>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</si>
  <si>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</si>
  <si>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</si>
  <si>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</si>
  <si>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</si>
  <si>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</si>
  <si>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</si>
  <si>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</si>
  <si>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</si>
  <si>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</si>
  <si>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</si>
  <si>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</si>
  <si>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</si>
  <si>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</si>
  <si>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</si>
  <si>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</si>
  <si>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</si>
  <si>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</si>
  <si>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</si>
  <si>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</si>
  <si>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</si>
  <si>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</si>
  <si>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F173352</t>
  </si>
  <si>
    <t>KJLTVR411610R01</t>
  </si>
  <si>
    <t>LTVR4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</si>
</sst>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62.1</c:v>
                </c:pt>
                <c:pt idx="2">
                  <c:v>47</c:v>
                </c:pt>
                <c:pt idx="3">
                  <c:v>47</c:v>
                </c:pt>
                <c:pt idx="4">
                  <c:v>39</c:v>
                </c:pt>
                <c:pt idx="6">
                  <c:v>41.9</c:v>
                </c:pt>
                <c:pt idx="7">
                  <c:v>40.300000000000004</c:v>
                </c:pt>
                <c:pt idx="8">
                  <c:v>59.7</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458240"/>
        <c:axId val="74459776"/>
      </c:barChart>
      <c:catAx>
        <c:axId val="7445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9776"/>
        <c:crossesAt val="0"/>
        <c:auto val="1"/>
        <c:lblAlgn val="ctr"/>
        <c:lblOffset val="100"/>
        <c:tickLblSkip val="1"/>
        <c:tickMarkSkip val="1"/>
        <c:noMultiLvlLbl val="0"/>
      </c:catAx>
      <c:valAx>
        <c:axId val="7445977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824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59.004718806871146</c:v>
                </c:pt>
              </c:numCache>
            </c:numRef>
          </c:xVal>
          <c:yVal>
            <c:numRef>
              <c:f>'Diagram Data'!$F$25</c:f>
              <c:numCache>
                <c:formatCode>0.00</c:formatCode>
                <c:ptCount val="1"/>
                <c:pt idx="0">
                  <c:v>584.95905789534152</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4482432"/>
        <c:axId val="74484352"/>
      </c:scatterChart>
      <c:valAx>
        <c:axId val="74482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4352"/>
        <c:crosses val="autoZero"/>
        <c:crossBetween val="midCat"/>
      </c:valAx>
      <c:valAx>
        <c:axId val="74484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2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56.723640916736542</c:v>
                </c:pt>
              </c:numCache>
            </c:numRef>
          </c:xVal>
          <c:yVal>
            <c:numRef>
              <c:f>'Diagram Data'!$F$29</c:f>
              <c:numCache>
                <c:formatCode>0.00</c:formatCode>
                <c:ptCount val="1"/>
                <c:pt idx="0">
                  <c:v>584.95905789534152</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5695232"/>
        <c:axId val="75697152"/>
      </c:scatterChart>
      <c:valAx>
        <c:axId val="756952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97152"/>
        <c:crosses val="autoZero"/>
        <c:crossBetween val="midCat"/>
      </c:valAx>
      <c:valAx>
        <c:axId val="756971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952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46.749441266519874</c:v>
                </c:pt>
              </c:numCache>
            </c:numRef>
          </c:xVal>
          <c:yVal>
            <c:numRef>
              <c:f>'Diagram Data'!$F$33</c:f>
              <c:numCache>
                <c:formatCode>0.00</c:formatCode>
                <c:ptCount val="1"/>
                <c:pt idx="0">
                  <c:v>275.70754676769411</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748864"/>
        <c:axId val="75750784"/>
      </c:scatterChart>
      <c:valAx>
        <c:axId val="7574886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50784"/>
        <c:crosses val="autoZero"/>
        <c:crossBetween val="midCat"/>
      </c:valAx>
      <c:valAx>
        <c:axId val="7575078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4886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54.170835895081701</c:v>
                </c:pt>
                <c:pt idx="1">
                  <c:v>53.382475125830972</c:v>
                </c:pt>
                <c:pt idx="2">
                  <c:v>52.712871258937653</c:v>
                </c:pt>
                <c:pt idx="3">
                  <c:v>52.429262559819961</c:v>
                </c:pt>
                <c:pt idx="4">
                  <c:v>53.737661301264581</c:v>
                </c:pt>
                <c:pt idx="5">
                  <c:v>56.666113280166869</c:v>
                </c:pt>
                <c:pt idx="6">
                  <c:v>58.615890315698095</c:v>
                </c:pt>
                <c:pt idx="7">
                  <c:v>58.962768929510773</c:v>
                </c:pt>
                <c:pt idx="8">
                  <c:v>58.248070766109301</c:v>
                </c:pt>
                <c:pt idx="9">
                  <c:v>57.14744809900904</c:v>
                </c:pt>
                <c:pt idx="10">
                  <c:v>56.043665342905001</c:v>
                </c:pt>
                <c:pt idx="11">
                  <c:v>55.051485107977854</c:v>
                </c:pt>
                <c:pt idx="12">
                  <c:v>54.170835895081701</c:v>
                </c:pt>
                <c:pt idx="13">
                  <c:v>53.382475125830979</c:v>
                </c:pt>
                <c:pt idx="14">
                  <c:v>52.71287125893766</c:v>
                </c:pt>
                <c:pt idx="15">
                  <c:v>52.429262559819968</c:v>
                </c:pt>
                <c:pt idx="16">
                  <c:v>53.737661301264566</c:v>
                </c:pt>
                <c:pt idx="17">
                  <c:v>56.666113280166869</c:v>
                </c:pt>
                <c:pt idx="18">
                  <c:v>58.615890315698103</c:v>
                </c:pt>
                <c:pt idx="19">
                  <c:v>58.962768929510773</c:v>
                </c:pt>
                <c:pt idx="20">
                  <c:v>58.248070766109308</c:v>
                </c:pt>
                <c:pt idx="21">
                  <c:v>57.14744809900904</c:v>
                </c:pt>
                <c:pt idx="22">
                  <c:v>56.043665342905008</c:v>
                </c:pt>
                <c:pt idx="23">
                  <c:v>55.051485107977854</c:v>
                </c:pt>
                <c:pt idx="24">
                  <c:v>54.170835895081701</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56.424403248681799</c:v>
                </c:pt>
                <c:pt idx="1">
                  <c:v>53.80118542522932</c:v>
                </c:pt>
                <c:pt idx="2">
                  <c:v>49.130799718379002</c:v>
                </c:pt>
                <c:pt idx="3">
                  <c:v>43.664672206623266</c:v>
                </c:pt>
                <c:pt idx="4">
                  <c:v>38.867447342462597</c:v>
                </c:pt>
                <c:pt idx="5">
                  <c:v>36.024537654159353</c:v>
                </c:pt>
                <c:pt idx="6">
                  <c:v>35.897698496848989</c:v>
                </c:pt>
                <c:pt idx="7">
                  <c:v>38.520916320301481</c:v>
                </c:pt>
                <c:pt idx="8">
                  <c:v>43.191302027151785</c:v>
                </c:pt>
                <c:pt idx="9">
                  <c:v>48.657429538907522</c:v>
                </c:pt>
                <c:pt idx="10">
                  <c:v>53.454654403068204</c:v>
                </c:pt>
                <c:pt idx="11">
                  <c:v>56.297564091371441</c:v>
                </c:pt>
                <c:pt idx="12">
                  <c:v>56.424403248681799</c:v>
                </c:pt>
                <c:pt idx="13">
                  <c:v>53.80118542522932</c:v>
                </c:pt>
                <c:pt idx="14">
                  <c:v>49.130799718378995</c:v>
                </c:pt>
                <c:pt idx="15">
                  <c:v>43.664672206623266</c:v>
                </c:pt>
                <c:pt idx="16">
                  <c:v>38.867447342462604</c:v>
                </c:pt>
                <c:pt idx="17">
                  <c:v>36.024537654159353</c:v>
                </c:pt>
                <c:pt idx="18">
                  <c:v>35.897698496848989</c:v>
                </c:pt>
                <c:pt idx="19">
                  <c:v>38.520916320301488</c:v>
                </c:pt>
                <c:pt idx="20">
                  <c:v>43.191302027151792</c:v>
                </c:pt>
                <c:pt idx="21">
                  <c:v>48.657429538907522</c:v>
                </c:pt>
                <c:pt idx="22">
                  <c:v>53.45465440306819</c:v>
                </c:pt>
                <c:pt idx="23">
                  <c:v>56.297564091371449</c:v>
                </c:pt>
                <c:pt idx="24">
                  <c:v>56.424403248681799</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101.03989912725586</c:v>
                </c:pt>
              </c:numCache>
            </c:numRef>
          </c:xVal>
          <c:yVal>
            <c:numRef>
              <c:f>'Payload Input'!$J$89</c:f>
              <c:numCache>
                <c:formatCode>General</c:formatCode>
                <c:ptCount val="1"/>
                <c:pt idx="0">
                  <c:v>59.004718806871146</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353.16464278624892</c:v>
                </c:pt>
              </c:numCache>
            </c:numRef>
          </c:xVal>
          <c:yVal>
            <c:numRef>
              <c:f>'Payload Input'!$K$90</c:f>
              <c:numCache>
                <c:formatCode>General</c:formatCode>
                <c:ptCount val="1"/>
                <c:pt idx="0">
                  <c:v>56.723640916736542</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46.749441266519874</c:v>
                </c:pt>
              </c:numCache>
            </c:numRef>
          </c:yVal>
          <c:smooth val="1"/>
        </c:ser>
        <c:dLbls>
          <c:showLegendKey val="0"/>
          <c:showVal val="0"/>
          <c:showCatName val="0"/>
          <c:showSerName val="0"/>
          <c:showPercent val="0"/>
          <c:showBubbleSize val="0"/>
        </c:dLbls>
        <c:axId val="76393856"/>
        <c:axId val="76412416"/>
      </c:scatterChart>
      <c:valAx>
        <c:axId val="7639385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6412416"/>
        <c:crosses val="autoZero"/>
        <c:crossBetween val="midCat"/>
      </c:valAx>
      <c:valAx>
        <c:axId val="7641241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639385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79497472"/>
        <c:axId val="79507456"/>
      </c:scatterChart>
      <c:valAx>
        <c:axId val="794974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79507456"/>
        <c:crosses val="autoZero"/>
        <c:crossBetween val="midCat"/>
      </c:valAx>
      <c:valAx>
        <c:axId val="795074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794974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8" sqref="G8:H8"/>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8" t="s">
        <v>4041</v>
      </c>
      <c r="H4" s="969"/>
    </row>
    <row r="5" spans="1:8" s="83" customFormat="1" ht="15">
      <c r="B5" s="280"/>
      <c r="C5" s="285">
        <f>VLOOKUP('Misc Data'!$B$26,Table1,17)</f>
        <v>0</v>
      </c>
      <c r="F5" s="787" t="s">
        <v>3950</v>
      </c>
      <c r="G5" s="970" t="s">
        <v>4042</v>
      </c>
      <c r="H5" s="974"/>
    </row>
    <row r="6" spans="1:8" s="83" customFormat="1" ht="15">
      <c r="B6" s="280" t="s">
        <v>3936</v>
      </c>
      <c r="C6" s="794" t="str">
        <f>'Misc Data'!C11</f>
        <v>CofG - SI</v>
      </c>
      <c r="F6" s="787" t="s">
        <v>3951</v>
      </c>
      <c r="G6" s="970" t="s">
        <v>4043</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4040</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116.5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0.22120860000000001</v>
      </c>
      <c r="F13" s="785" t="s">
        <v>3913</v>
      </c>
      <c r="G13" s="151"/>
      <c r="H13" s="170" t="str">
        <f>'Wrist Load Analysis'!R16</f>
        <v>OK</v>
      </c>
    </row>
    <row r="14" spans="1:8" ht="13.5" thickBot="1">
      <c r="B14" s="163" t="str">
        <f>HLOOKUP(Anal_Payload_Code,Unit_text,5)</f>
        <v>Payload Center Y (m)</v>
      </c>
      <c r="C14" s="965">
        <v>9.6868490000000002E-2</v>
      </c>
      <c r="F14" s="786" t="s">
        <v>3914</v>
      </c>
      <c r="G14" s="70"/>
      <c r="H14" s="443" t="str">
        <f>'Wrist Load Analysis'!R17</f>
        <v>OK</v>
      </c>
    </row>
    <row r="15" spans="1:8">
      <c r="B15" s="163" t="str">
        <f>IF(Axis_Type=1,"--------------------------------",HLOOKUP(Anal_Payload_Code,Unit_text,6))</f>
        <v>Payload Center Z (m)</v>
      </c>
      <c r="C15" s="338">
        <v>0.21687819999999999</v>
      </c>
      <c r="F15" s="444"/>
      <c r="G15" s="169"/>
      <c r="H15" s="169"/>
    </row>
    <row r="16" spans="1:8">
      <c r="A16" s="264"/>
      <c r="B16" s="163" t="str">
        <f>HLOOKUP(Anal_Payload_Code,Unit_text,7)</f>
        <v>Payload Inertia Ix (Kg.m^2)</v>
      </c>
      <c r="C16" s="338">
        <v>11.015930000000001</v>
      </c>
      <c r="E16" s="264"/>
      <c r="F16" s="5"/>
      <c r="G16" s="151"/>
      <c r="H16" s="151"/>
    </row>
    <row r="17" spans="1:8" ht="13.5" thickBot="1">
      <c r="B17" s="265" t="str">
        <f>HLOOKUP(Anal_Payload_Code,Unit_text,8)</f>
        <v>Payload Inertia Iy (Kg.m^2)</v>
      </c>
      <c r="C17" s="339">
        <v>26.935089999999999</v>
      </c>
      <c r="D17" s="264"/>
      <c r="F17" s="12"/>
      <c r="G17" s="263"/>
      <c r="H17" s="263"/>
    </row>
    <row r="18" spans="1:8" ht="16.149999999999999" customHeight="1" thickBot="1">
      <c r="B18" s="412" t="str">
        <f>IF(Axis_Type=1,"--------------------------------",HLOOKUP(Anal_Payload_Code,Unit_text,9))</f>
        <v>Payload Inertia Iz (Kg.m^2)</v>
      </c>
      <c r="C18" s="548">
        <v>39.955539999999999</v>
      </c>
      <c r="F18" s="780" t="s">
        <v>3956</v>
      </c>
      <c r="G18" s="168"/>
      <c r="H18" s="167"/>
    </row>
    <row r="19" spans="1:8" ht="16.5" thickBot="1">
      <c r="A19" s="264"/>
      <c r="C19" s="192"/>
      <c r="D19" s="192"/>
      <c r="E19" s="264"/>
      <c r="F19" s="789" t="s">
        <v>4037</v>
      </c>
      <c r="G19" s="171"/>
      <c r="H19" s="325">
        <f>'Wrist Load Analysis'!R20</f>
        <v>62.1</v>
      </c>
    </row>
    <row r="20" spans="1:8" ht="15.75" thickBot="1">
      <c r="A20" s="264"/>
      <c r="B20" s="780" t="s">
        <v>3938</v>
      </c>
      <c r="C20" s="783" t="s">
        <v>3939</v>
      </c>
      <c r="D20" s="784" t="s">
        <v>3940</v>
      </c>
      <c r="E20" s="264"/>
      <c r="F20" s="966" t="s">
        <v>4038</v>
      </c>
      <c r="G20" s="967"/>
      <c r="H20" s="408">
        <f>ROUNDDOWN(Payload_lim_J3,1)</f>
        <v>187.8</v>
      </c>
    </row>
    <row r="21" spans="1:8">
      <c r="A21" s="264"/>
      <c r="B21" s="785" t="s">
        <v>4036</v>
      </c>
      <c r="C21" s="336">
        <f>VLOOKUP('Misc Data'!$B$26,Table1,12)</f>
        <v>185</v>
      </c>
      <c r="D21" s="365">
        <f>'Wrist Load Analysis'!R6</f>
        <v>116.5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47</v>
      </c>
    </row>
    <row r="23" spans="1:8">
      <c r="B23" s="785" t="s">
        <v>3942</v>
      </c>
      <c r="C23" s="336">
        <f>VLOOKUP('Misc Data'!$B$26,Table1,6)</f>
        <v>1225</v>
      </c>
      <c r="D23" s="365">
        <f>'Wrist Load Analysis'!R7</f>
        <v>584.95905789534152</v>
      </c>
      <c r="F23" s="785" t="s">
        <v>3959</v>
      </c>
      <c r="G23" s="380"/>
      <c r="H23" s="442">
        <f>'Wrist Load Analysis'!R23</f>
        <v>47</v>
      </c>
    </row>
    <row r="24" spans="1:8" ht="13.5" thickBot="1">
      <c r="A24" s="264"/>
      <c r="B24" s="785" t="s">
        <v>3943</v>
      </c>
      <c r="C24" s="336">
        <f>VLOOKUP('Misc Data'!$B$26,Table1,7)</f>
        <v>1225</v>
      </c>
      <c r="D24" s="365">
        <f>'Wrist Load Analysis'!R8</f>
        <v>584.95905789534152</v>
      </c>
      <c r="E24" s="264"/>
      <c r="F24" s="786" t="s">
        <v>3960</v>
      </c>
      <c r="G24" s="381"/>
      <c r="H24" s="327">
        <f>IF(Axis_Count=1,"-",'Wrist Load Analysis'!R24)</f>
        <v>39</v>
      </c>
    </row>
    <row r="25" spans="1:8">
      <c r="A25" s="264"/>
      <c r="B25" s="785" t="s">
        <v>3944</v>
      </c>
      <c r="C25" s="336">
        <f>VLOOKUP('Misc Data'!$B$26,Table1,8)</f>
        <v>706</v>
      </c>
      <c r="D25" s="365">
        <f>IF(Axis_Count=1,"-",'Wrist Load Analysis'!R9)</f>
        <v>275.70754676769411</v>
      </c>
      <c r="E25" s="264"/>
      <c r="F25" s="791" t="s">
        <v>3961</v>
      </c>
      <c r="G25" s="172"/>
      <c r="H25" s="363"/>
    </row>
    <row r="26" spans="1:8">
      <c r="A26" s="264"/>
      <c r="B26" s="785" t="s">
        <v>3945</v>
      </c>
      <c r="C26" s="336">
        <f>VLOOKUP('Misc Data'!$B$26,Table1,9)</f>
        <v>141.1</v>
      </c>
      <c r="D26" s="365">
        <f>'Wrist Load Analysis'!R10</f>
        <v>59.004718806871146</v>
      </c>
      <c r="E26" s="264"/>
      <c r="F26" s="785" t="s">
        <v>3958</v>
      </c>
      <c r="G26" s="266"/>
      <c r="H26" s="326">
        <f>'Wrist Load Analysis'!R26</f>
        <v>41.9</v>
      </c>
    </row>
    <row r="27" spans="1:8">
      <c r="A27" s="264"/>
      <c r="B27" s="785" t="s">
        <v>3946</v>
      </c>
      <c r="C27" s="336">
        <f>VLOOKUP('Misc Data'!$B$26,Table1,10)</f>
        <v>141.1</v>
      </c>
      <c r="D27" s="365">
        <f>'Wrist Load Analysis'!R11</f>
        <v>56.723640916736542</v>
      </c>
      <c r="E27" s="264"/>
      <c r="F27" s="785" t="s">
        <v>3959</v>
      </c>
      <c r="G27" s="267"/>
      <c r="H27" s="326">
        <f>'Wrist Load Analysis'!R27</f>
        <v>40.300000000000004</v>
      </c>
    </row>
    <row r="28" spans="1:8" ht="13.5" thickBot="1">
      <c r="A28" s="264"/>
      <c r="B28" s="786" t="s">
        <v>3947</v>
      </c>
      <c r="C28" s="544">
        <f>VLOOKUP('Misc Data'!$B$26,Table1,11)</f>
        <v>78.400000000000006</v>
      </c>
      <c r="D28" s="545">
        <f>IF(Axis_Count=1,"-",'Wrist Load Analysis'!R12)</f>
        <v>46.749441266519874</v>
      </c>
      <c r="E28" s="264"/>
      <c r="F28" s="786" t="s">
        <v>3960</v>
      </c>
      <c r="G28" s="268"/>
      <c r="H28" s="327">
        <f>IF(Axis_Count=1,"-",'Wrist Load Analysis'!R28)</f>
        <v>59.7</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R-2000iB/185L</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F173352</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KJLTVR411610R01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1 - VACIA</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116.5</v>
      </c>
      <c r="G9" s="355"/>
      <c r="H9" s="345"/>
      <c r="I9" s="345"/>
    </row>
    <row r="10" spans="1:12" ht="13.5">
      <c r="A10" s="345"/>
      <c r="B10" s="353"/>
      <c r="C10" s="356">
        <v>3</v>
      </c>
      <c r="D10" s="354" t="s">
        <v>3756</v>
      </c>
      <c r="E10" s="354" t="str">
        <f>IF($E$22=TRUE,"[m]","[cm]")</f>
        <v>[cm]</v>
      </c>
      <c r="F10" s="357">
        <f>IF(Load_Set_2=FALSE,"-",IF($E$22=TRUE,Load_Set_2/100,Load_Set_2))</f>
        <v>22.120999999999999</v>
      </c>
      <c r="G10" s="355"/>
      <c r="H10" s="345"/>
      <c r="I10" s="345"/>
    </row>
    <row r="11" spans="1:12" ht="13.5">
      <c r="A11" s="345"/>
      <c r="B11" s="353"/>
      <c r="C11" s="356">
        <v>4</v>
      </c>
      <c r="D11" s="354" t="s">
        <v>3011</v>
      </c>
      <c r="E11" s="354" t="str">
        <f>IF($E$22=TRUE,"[m]","[cm]")</f>
        <v>[cm]</v>
      </c>
      <c r="F11" s="357">
        <f>IF(Load_Set_3=FALSE,"-",IF($E$22=TRUE,Load_Set_3/100,Load_Set_3))</f>
        <v>9.6869999999999994</v>
      </c>
      <c r="G11" s="355"/>
      <c r="H11" s="345"/>
      <c r="I11" s="345"/>
    </row>
    <row r="12" spans="1:12" ht="13.5">
      <c r="A12" s="345"/>
      <c r="B12" s="447"/>
      <c r="C12" s="356">
        <v>5</v>
      </c>
      <c r="D12" s="354" t="s">
        <v>350</v>
      </c>
      <c r="E12" s="354" t="str">
        <f>IF($E$22=TRUE,"[m]","[cm]")</f>
        <v>[cm]</v>
      </c>
      <c r="F12" s="357">
        <f>IF(Load_Set_4=FALSE,"-",IF($E$22=TRUE,Load_Set_4/100,Load_Set_4))</f>
        <v>21.687999999999999</v>
      </c>
      <c r="G12" s="355"/>
      <c r="H12" s="345"/>
      <c r="I12" s="345"/>
    </row>
    <row r="13" spans="1:12" ht="13.5">
      <c r="A13" s="345"/>
      <c r="B13" s="353"/>
      <c r="C13" s="356">
        <v>6</v>
      </c>
      <c r="D13" s="354" t="s">
        <v>1116</v>
      </c>
      <c r="E13" s="354" t="str">
        <f>IF($E$22=TRUE,"[kgm^2]","[kgfcms^2]")</f>
        <v>[kgfcms^2]</v>
      </c>
      <c r="F13" s="357">
        <f>IF(Load_Set_5=FALSE,"-",IF($E$22=TRUE,Load_Set_5*0.098,Load_Set_5))</f>
        <v>112.407</v>
      </c>
      <c r="G13" s="355"/>
      <c r="H13" s="345"/>
      <c r="I13" s="345"/>
    </row>
    <row r="14" spans="1:12" ht="13.5">
      <c r="A14" s="345"/>
      <c r="B14" s="353"/>
      <c r="C14" s="356">
        <v>7</v>
      </c>
      <c r="D14" s="354" t="s">
        <v>1847</v>
      </c>
      <c r="E14" s="354" t="str">
        <f>IF($E$22=TRUE,"[kgm^2]","[kgfcms^2]")</f>
        <v>[kgfcms^2]</v>
      </c>
      <c r="F14" s="357">
        <f>IF(Load_Set_6=FALSE,"-",IF($E$22=TRUE,Load_Set_6*0.098,Load_Set_6))</f>
        <v>274.84800000000001</v>
      </c>
      <c r="G14" s="355"/>
      <c r="H14" s="345"/>
      <c r="I14" s="345"/>
    </row>
    <row r="15" spans="1:12" ht="13.5">
      <c r="A15" s="345"/>
      <c r="B15" s="353"/>
      <c r="C15" s="356">
        <v>8</v>
      </c>
      <c r="D15" s="354" t="s">
        <v>3012</v>
      </c>
      <c r="E15" s="354" t="str">
        <f>IF($E$22=TRUE,"[kgm^2]","[kgfcms^2]")</f>
        <v>[kgfcms^2]</v>
      </c>
      <c r="F15" s="357">
        <f>IF(Load_Set_7=FALSE,"-",IF($E$22=TRUE,Load_Set_7*0.098,Load_Set_7))</f>
        <v>407.71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116.5</v>
      </c>
      <c r="H6" s="625" t="s">
        <v>2962</v>
      </c>
      <c r="I6" s="551">
        <f>IF((Anal_Payload_Code=1),Anal_Input_1,IF((Anal_Payload_Code=2),Anal_Input_1,0))</f>
        <v>116.5</v>
      </c>
      <c r="J6" s="551">
        <f>IF((Anal_Payload_Code=1),Anal_Input_1,IF((Anal_Payload_Code=2),Anal_Input_1,0))</f>
        <v>116.5</v>
      </c>
      <c r="K6" s="551">
        <f>IF((Anal_Payload_Code=1),Anal_Input_1,IF((Anal_Payload_Code=2),Anal_Input_1,0))</f>
        <v>116.5</v>
      </c>
      <c r="L6" s="7"/>
    </row>
    <row r="7" spans="2:18">
      <c r="B7" s="8" t="s">
        <v>2963</v>
      </c>
      <c r="C7" s="626">
        <f t="shared" ref="C7:C12" si="0">IF(Anal_Robot_Code=10105,J7,IF(Anal_Robot_Code=10112,J7,IF(Anal_Robot_Code=10111,K7,I7)))</f>
        <v>0.22120860000000001</v>
      </c>
      <c r="D7" s="290"/>
      <c r="E7" s="290"/>
      <c r="H7" s="8" t="s">
        <v>2963</v>
      </c>
      <c r="I7" s="551">
        <f>IF((Anal_Payload_Code=1),Anal_Input_2,IF((Anal_Payload_Code=2),Anal_Input_2*0.01,0))</f>
        <v>0.22120860000000001</v>
      </c>
      <c r="J7" s="552">
        <f>(0.007+L9)*SIN(RADIANS(30))+L7*COS(RADIANS(30))</f>
        <v>0.30351136713559035</v>
      </c>
      <c r="K7" s="552">
        <f>(0.01+L9)*SIN(RADIANS(30))+L7*COS(RADIANS(30))</f>
        <v>0.30501136713559041</v>
      </c>
      <c r="L7" s="439">
        <f>IF((Anal_Payload_Code=1),Anal_Input_2,IF((Anal_Payload_Code=2),Anal_Input_2*0.01,0))</f>
        <v>0.22120860000000001</v>
      </c>
    </row>
    <row r="8" spans="2:18">
      <c r="B8" s="8" t="s">
        <v>2964</v>
      </c>
      <c r="C8" s="626">
        <f t="shared" si="0"/>
        <v>9.6868490000000002E-2</v>
      </c>
      <c r="D8" s="290"/>
      <c r="E8" s="290"/>
      <c r="H8" s="8" t="s">
        <v>2964</v>
      </c>
      <c r="I8" s="551">
        <f>IF((Anal_Payload_Code=1),Anal_Input_3,IF((Anal_Payload_Code=2),Anal_Input_3*0.01,0))</f>
        <v>9.6868490000000002E-2</v>
      </c>
      <c r="J8" s="551">
        <f>IF((Anal_Payload_Code=1),Anal_Input_3,IF((Anal_Payload_Code=2),Anal_Input_3*0.01,0))</f>
        <v>9.6868490000000002E-2</v>
      </c>
      <c r="K8" s="551">
        <f>IF((Anal_Payload_Code=1),Anal_Input_3,IF((Anal_Payload_Code=2),Anal_Input_3*0.01,0))</f>
        <v>9.6868490000000002E-2</v>
      </c>
      <c r="L8" s="7"/>
    </row>
    <row r="9" spans="2:18">
      <c r="B9" s="8" t="s">
        <v>840</v>
      </c>
      <c r="C9" s="626">
        <f t="shared" si="0"/>
        <v>0.21687819999999999</v>
      </c>
      <c r="D9" s="290"/>
      <c r="E9" s="290"/>
      <c r="H9" s="8" t="s">
        <v>840</v>
      </c>
      <c r="I9" s="551">
        <f>IF((Anal_Payload_Code=1),Anal_Input_4,IF((Anal_Payload_Code=2),Anal_Input_4*0.01,0))</f>
        <v>0.21687819999999999</v>
      </c>
      <c r="J9" s="552">
        <f>(0.007+L9)*COS(RADIANS(30))-L7*SIN(RADIANS(30))</f>
        <v>8.3279908553533344E-2</v>
      </c>
      <c r="K9" s="552">
        <f>(0.01+L9)*COS(RADIANS(30))-L7*SIN(RADIANS(30))</f>
        <v>8.5877984764886645E-2</v>
      </c>
      <c r="L9" s="439">
        <f>IF((Anal_Payload_Code=1),Anal_Input_4,IF((Anal_Payload_Code=2),Anal_Input_4*0.01,0))</f>
        <v>0.21687819999999999</v>
      </c>
    </row>
    <row r="10" spans="2:18">
      <c r="B10" s="8" t="s">
        <v>2965</v>
      </c>
      <c r="C10" s="626">
        <f t="shared" si="0"/>
        <v>11.015930000000001</v>
      </c>
      <c r="D10" s="290"/>
      <c r="E10" s="290"/>
      <c r="H10" s="8" t="s">
        <v>2965</v>
      </c>
      <c r="I10" s="551">
        <f>IF((Anal_Payload_Code=1),Anal_Input_5,IF((Anal_Payload_Code=2),Anal_Input_5*0.098,0))</f>
        <v>11.015930000000001</v>
      </c>
      <c r="J10" s="552">
        <f>L10*(COS(RADIANS(30)))^2+L12*(SIN(RADIANS(30)))^2</f>
        <v>18.250832500000001</v>
      </c>
      <c r="K10" s="552">
        <f>L10*(COS(RADIANS(30)))^2+L12*(SIN(RADIANS(30)))^2</f>
        <v>18.250832500000001</v>
      </c>
      <c r="L10" s="439">
        <f>IF((Anal_Payload_Code=1),Anal_Input_5,IF((Anal_Payload_Code=2),Anal_Input_5*0.098,0))</f>
        <v>11.015930000000001</v>
      </c>
    </row>
    <row r="11" spans="2:18">
      <c r="B11" s="8" t="s">
        <v>2362</v>
      </c>
      <c r="C11" s="626">
        <f t="shared" si="0"/>
        <v>26.935089999999999</v>
      </c>
      <c r="D11" s="290"/>
      <c r="E11" s="290"/>
      <c r="H11" s="8" t="s">
        <v>2362</v>
      </c>
      <c r="I11" s="551">
        <f>IF((Anal_Payload_Code=1),Anal_Input_6,IF((Anal_Payload_Code=2),Anal_Input_6*0.098,0))</f>
        <v>26.935089999999999</v>
      </c>
      <c r="J11" s="551">
        <f>IF((Anal_Payload_Code=1),Anal_Input_6,IF((Anal_Payload_Code=2),Anal_Input_6*0.098,0))</f>
        <v>26.935089999999999</v>
      </c>
      <c r="K11" s="551">
        <f>IF((Anal_Payload_Code=1),Anal_Input_6,IF((Anal_Payload_Code=2),Anal_Input_6*0.098,0))</f>
        <v>26.935089999999999</v>
      </c>
      <c r="L11" s="7"/>
    </row>
    <row r="12" spans="2:18">
      <c r="B12" s="8" t="s">
        <v>2363</v>
      </c>
      <c r="C12" s="626">
        <f t="shared" si="0"/>
        <v>39.955539999999999</v>
      </c>
      <c r="D12" s="290"/>
      <c r="E12" s="290"/>
      <c r="H12" s="8" t="s">
        <v>2363</v>
      </c>
      <c r="I12" s="551">
        <f>IF((Anal_Payload_Code=1),Anal_Input_7,IF((Anal_Payload_Code=2),Anal_Input_7*0.098,0))</f>
        <v>39.955539999999999</v>
      </c>
      <c r="J12" s="552">
        <f>L12*(COS(RADIANS(30)))^2+L10*(SIN(RADIANS(30)))^2</f>
        <v>32.720637500000002</v>
      </c>
      <c r="K12" s="552">
        <f>L12*(COS(RADIANS(30)))^2+L10*(SIN(RADIANS(30)))^2</f>
        <v>32.720637500000002</v>
      </c>
      <c r="L12" s="439">
        <f>IF((Anal_Payload_Code=1),Anal_Input_7,IF((Anal_Payload_Code=2),Anal_Input_7*0.098,0))</f>
        <v>39.955539999999999</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116.5</v>
      </c>
      <c r="Y18" s="634"/>
    </row>
    <row r="19" spans="2:27" s="625" customFormat="1" ht="15" thickBot="1">
      <c r="B19" s="635"/>
      <c r="C19" s="631" t="s">
        <v>1863</v>
      </c>
      <c r="D19" s="632" t="s">
        <v>1861</v>
      </c>
      <c r="E19" s="633">
        <f t="shared" ref="E19:E24" si="1">C7</f>
        <v>0.22120860000000001</v>
      </c>
      <c r="Y19" s="634"/>
    </row>
    <row r="20" spans="2:27" s="625" customFormat="1" ht="15" thickBot="1">
      <c r="B20" s="636" t="s">
        <v>3276</v>
      </c>
      <c r="C20" s="631" t="s">
        <v>3277</v>
      </c>
      <c r="D20" s="632" t="s">
        <v>1861</v>
      </c>
      <c r="E20" s="633">
        <f t="shared" si="1"/>
        <v>9.6868490000000002E-2</v>
      </c>
      <c r="Y20" s="634"/>
    </row>
    <row r="21" spans="2:27" s="625" customFormat="1" ht="15" thickBot="1">
      <c r="B21" s="637"/>
      <c r="C21" s="631" t="s">
        <v>3278</v>
      </c>
      <c r="D21" s="632" t="s">
        <v>1861</v>
      </c>
      <c r="E21" s="633">
        <f t="shared" si="1"/>
        <v>0.21687819999999999</v>
      </c>
      <c r="Y21" s="634"/>
    </row>
    <row r="22" spans="2:27" s="625" customFormat="1" ht="15" thickBot="1">
      <c r="B22" s="638"/>
      <c r="C22" s="631" t="s">
        <v>3279</v>
      </c>
      <c r="D22" s="632" t="s">
        <v>3280</v>
      </c>
      <c r="E22" s="633">
        <f t="shared" si="1"/>
        <v>11.015930000000001</v>
      </c>
      <c r="Y22" s="634"/>
      <c r="AA22" s="639"/>
    </row>
    <row r="23" spans="2:27" s="625" customFormat="1" ht="15" thickBot="1">
      <c r="B23" s="636" t="s">
        <v>3281</v>
      </c>
      <c r="C23" s="631" t="s">
        <v>3282</v>
      </c>
      <c r="D23" s="632" t="s">
        <v>3280</v>
      </c>
      <c r="E23" s="633">
        <f t="shared" si="1"/>
        <v>26.935089999999999</v>
      </c>
      <c r="Y23" s="634"/>
    </row>
    <row r="24" spans="2:27" s="625" customFormat="1" ht="15" thickBot="1">
      <c r="B24" s="640"/>
      <c r="C24" s="631" t="s">
        <v>3283</v>
      </c>
      <c r="D24" s="632" t="s">
        <v>3280</v>
      </c>
      <c r="E24" s="633">
        <f t="shared" si="1"/>
        <v>39.955539999999999</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584.95905789534152</v>
      </c>
      <c r="F31" s="643">
        <f>SQRT((SQRT($E$19^2+$E$20^2)+SQRT(($E$27+$E$28*COS($P$31*PI()/180))^2+$E$28^2*SIN($P$31*PI()/180)^2))^2+($E$21+$E$26)^2)</f>
        <v>0.51235793807072039</v>
      </c>
      <c r="H31" s="646" t="s">
        <v>2365</v>
      </c>
      <c r="I31" s="646" t="s">
        <v>19</v>
      </c>
      <c r="N31" s="652" t="s">
        <v>20</v>
      </c>
      <c r="O31" s="641"/>
      <c r="P31" s="633">
        <v>90</v>
      </c>
    </row>
    <row r="32" spans="2:27" s="625" customFormat="1" ht="14.25">
      <c r="B32" s="650" t="s">
        <v>21</v>
      </c>
      <c r="C32" s="649" t="s">
        <v>1618</v>
      </c>
      <c r="D32" s="643" t="s">
        <v>22</v>
      </c>
      <c r="E32" s="651">
        <f>$E$18*9.8*F32</f>
        <v>584.95905789534152</v>
      </c>
      <c r="F32" s="643">
        <f>SQRT((SQRT($E$19^2+$E$20^2)+$E$28*SIN($P$31*PI()/180))^2+($E$21+$E$26)^2)</f>
        <v>0.51235793807072039</v>
      </c>
      <c r="H32" s="646" t="s">
        <v>2366</v>
      </c>
      <c r="I32" s="646" t="s">
        <v>2162</v>
      </c>
      <c r="N32" s="646" t="s">
        <v>2163</v>
      </c>
    </row>
    <row r="33" spans="1:28" s="625" customFormat="1">
      <c r="B33" s="653"/>
      <c r="C33" s="649" t="s">
        <v>270</v>
      </c>
      <c r="D33" s="643" t="s">
        <v>2164</v>
      </c>
      <c r="E33" s="651">
        <f>$E$18*9.8*F33</f>
        <v>275.70754676769411</v>
      </c>
      <c r="F33" s="643">
        <f>SQRT($E$19^2+$E$20^2)</f>
        <v>0.24148861064000535</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59.004718806871146</v>
      </c>
      <c r="F36" s="643">
        <f>$E$18*$F31^2+MAX($E$22:$E$24)</f>
        <v>70.538031506025334</v>
      </c>
      <c r="G36" s="654" t="s">
        <v>2181</v>
      </c>
      <c r="H36" s="655">
        <f>$J$43</f>
        <v>59.004714309624056</v>
      </c>
      <c r="I36" s="655">
        <f>$J$89</f>
        <v>59.004718806871146</v>
      </c>
      <c r="J36" s="643">
        <f>$N$89</f>
        <v>-59.443715002454184</v>
      </c>
      <c r="K36" s="643">
        <f>$B$89</f>
        <v>101.03989912725586</v>
      </c>
    </row>
    <row r="37" spans="1:28" s="625" customFormat="1" ht="14.25">
      <c r="B37" s="650" t="s">
        <v>2182</v>
      </c>
      <c r="C37" s="649" t="s">
        <v>1618</v>
      </c>
      <c r="D37" s="643" t="s">
        <v>2180</v>
      </c>
      <c r="E37" s="651">
        <f>MAX(H37:I37)</f>
        <v>56.723640916736542</v>
      </c>
      <c r="F37" s="643">
        <f>$E$18*$F32^2+MAX($E$22:$E$23)</f>
        <v>57.517581506025337</v>
      </c>
      <c r="G37" s="655">
        <f>IF(E28=0,SQRT((E18*E19^2-E18*E20^2-E22+E23)^2/4+(E18*E19*E20)^2)+(E18*E19^2+E18*E20^2+E22+E23)/2+E18*(E21+E26)^2,"---")</f>
        <v>56.723640916736542</v>
      </c>
      <c r="H37" s="655">
        <f>$K$44</f>
        <v>56.424403248681799</v>
      </c>
      <c r="I37" s="655">
        <f>$K$90</f>
        <v>56.723640916736542</v>
      </c>
      <c r="J37" s="654" t="s">
        <v>2181</v>
      </c>
      <c r="K37" s="654">
        <f>$B$90</f>
        <v>353.16464278624892</v>
      </c>
    </row>
    <row r="38" spans="1:28" s="625" customFormat="1">
      <c r="B38" s="653"/>
      <c r="C38" s="649" t="s">
        <v>270</v>
      </c>
      <c r="D38" s="643" t="s">
        <v>2180</v>
      </c>
      <c r="E38" s="651">
        <f>G38</f>
        <v>46.749441266519874</v>
      </c>
      <c r="F38" s="643">
        <f>$E$18*$F33^2+$E$24</f>
        <v>46.749441266519874</v>
      </c>
      <c r="G38" s="655">
        <f>$E$18*($E$19^2+$E$20^2)+$E$24</f>
        <v>46.749441266519874</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59.004714309624056</v>
      </c>
    </row>
    <row r="44" spans="1:28" s="625" customFormat="1" ht="14.25">
      <c r="B44" s="629" t="s">
        <v>2905</v>
      </c>
      <c r="I44" s="658" t="s">
        <v>2906</v>
      </c>
      <c r="J44" s="643">
        <f>MAX(J46:J70)</f>
        <v>58.962768929510773</v>
      </c>
      <c r="K44" s="643">
        <f>MAX(K46:K70)</f>
        <v>56.424403248681799</v>
      </c>
      <c r="L44" s="659">
        <f>MAX(L46:L70)</f>
        <v>56.424403248681799</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0.22120860000000001</v>
      </c>
      <c r="D46" s="643">
        <f t="shared" ref="D46:D70" si="3">$E$19*SIN(B46*PI()/180)+$E$20*COS(B46*PI()/180)</f>
        <v>9.6868490000000002E-2</v>
      </c>
      <c r="E46" s="643">
        <f t="shared" ref="E46:E70" si="4">$E$22*COS(B46*PI()/180)^2+$E$23*SIN(B46*PI()/180)^2</f>
        <v>11.015930000000001</v>
      </c>
      <c r="F46" s="643">
        <f t="shared" ref="F46:F70" si="5">$E$22*SIN(B46*PI()/180)^2+$E$23*COS(B46*PI()/180)^2</f>
        <v>26.935089999999999</v>
      </c>
      <c r="G46" s="643">
        <f t="shared" ref="G46:G70" si="6">($E$18*(C46+$E$28)^2-$E$18*($E$21+$E$26)^2+$E$24-E46)/2</f>
        <v>5.425871384835439</v>
      </c>
      <c r="H46" s="643">
        <f t="shared" ref="H46:H70" si="7">$E$18*(C46+$E$28)*($E$21+$E$26)</f>
        <v>11.645263575128581</v>
      </c>
      <c r="I46" s="643">
        <f t="shared" ref="I46:I70" si="8">$E$18*((C46+$E$28)^2+($E$21+$E$26)^2)/2+$E$18*(D46+$E$27)^2+($E$24+E46)/2</f>
        <v>41.323569881684435</v>
      </c>
      <c r="J46" s="643">
        <f>SQRT(G46^2+H46^2)+I46</f>
        <v>54.170835895081701</v>
      </c>
      <c r="K46" s="643">
        <f t="shared" ref="K46:K70" si="9">$E$18*((C46+$E$28)^2+($E$21+$E$26)^2)+F46</f>
        <v>56.424403248681799</v>
      </c>
      <c r="L46" s="670">
        <f t="shared" ref="L46:L70" si="10">$E$18*((D46+$E$28)^2+($E$21+$E$26)^2)+E46</f>
        <v>35.897698496848996</v>
      </c>
      <c r="M46" s="671"/>
      <c r="N46" s="638">
        <f>O53*180/PI()-INT(O53*180/PI()/360)*360</f>
        <v>353.16464278624892</v>
      </c>
      <c r="O46" s="643">
        <f>INDEX($B46:$B72,MATCH(K44,K46:K70,0))</f>
        <v>0</v>
      </c>
      <c r="P46" s="643">
        <f>($E$18*$E$19^2-$E$18*$E$20^2+$E$23-$E$22)/2</f>
        <v>10.263352375916403</v>
      </c>
      <c r="Q46" s="643">
        <f>-$E$18*$E$19*$E$20</f>
        <v>-2.4963786661421312</v>
      </c>
      <c r="R46" s="672" t="s">
        <v>1320</v>
      </c>
      <c r="T46" s="673"/>
      <c r="U46" s="674" t="s">
        <v>1321</v>
      </c>
      <c r="V46" s="675"/>
      <c r="W46" s="675"/>
      <c r="X46" s="675"/>
      <c r="Y46" s="675"/>
      <c r="Z46" s="675"/>
      <c r="AA46" s="675"/>
      <c r="AB46" s="676"/>
    </row>
    <row r="47" spans="1:28" s="625" customFormat="1">
      <c r="A47" s="643">
        <f>A46+1</f>
        <v>1</v>
      </c>
      <c r="B47" s="643">
        <f>B46+15</f>
        <v>15</v>
      </c>
      <c r="C47" s="643">
        <f t="shared" si="2"/>
        <v>0.18859968965492491</v>
      </c>
      <c r="D47" s="643">
        <f t="shared" si="3"/>
        <v>0.15082077486508982</v>
      </c>
      <c r="E47" s="643">
        <f t="shared" si="4"/>
        <v>12.08231151654546</v>
      </c>
      <c r="F47" s="643">
        <f t="shared" si="5"/>
        <v>25.868708483454544</v>
      </c>
      <c r="G47" s="643">
        <f t="shared" si="6"/>
        <v>4.1142624731091946</v>
      </c>
      <c r="H47" s="643">
        <f t="shared" si="7"/>
        <v>9.928606284832739</v>
      </c>
      <c r="I47" s="643">
        <f t="shared" si="8"/>
        <v>42.635178793410674</v>
      </c>
      <c r="J47" s="643">
        <f t="shared" ref="J47:J70" si="11">SQRT(G47^2+H47^2)+I47</f>
        <v>53.382475125830972</v>
      </c>
      <c r="K47" s="643">
        <f t="shared" si="9"/>
        <v>53.80118542522932</v>
      </c>
      <c r="L47" s="670">
        <f t="shared" si="10"/>
        <v>38.520916320301481</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0.1431380221355904</v>
      </c>
      <c r="D48" s="643">
        <f t="shared" si="3"/>
        <v>0.19449487316623887</v>
      </c>
      <c r="E48" s="643">
        <f t="shared" si="4"/>
        <v>14.995719999999999</v>
      </c>
      <c r="F48" s="643">
        <f t="shared" si="5"/>
        <v>22.955300000000001</v>
      </c>
      <c r="G48" s="643">
        <f t="shared" si="6"/>
        <v>1.7790696196840408</v>
      </c>
      <c r="H48" s="643">
        <f t="shared" si="7"/>
        <v>7.5353308840232218</v>
      </c>
      <c r="I48" s="643">
        <f t="shared" si="8"/>
        <v>44.970371646835829</v>
      </c>
      <c r="J48" s="643">
        <f t="shared" si="11"/>
        <v>52.712871258937653</v>
      </c>
      <c r="K48" s="643">
        <f t="shared" si="9"/>
        <v>49.130799718379002</v>
      </c>
      <c r="L48" s="670">
        <f t="shared" si="10"/>
        <v>43.191302027151792</v>
      </c>
      <c r="M48" s="671"/>
      <c r="N48" s="643">
        <v>1</v>
      </c>
      <c r="O48" s="643">
        <f>O46*PI()/180</f>
        <v>0</v>
      </c>
      <c r="P48" s="643">
        <f t="shared" ref="P48:P53" si="14">-2*$P$46*SIN(2*O48)+2*$Q$46*COS(2*O48)+2*$E$18*$E$28*(-$E$19*SIN(O48)-$E$20*COS(O48))</f>
        <v>-4.9927573322842624</v>
      </c>
      <c r="Q48" s="643">
        <f t="shared" ref="Q48:Q53" si="15">-4*$P$46*COS(2*O48)-4*$Q$46*SIN(2*O48)+2*$E$18*$E$28*(-$E$19*COS(O48)+$E$20*SIN(O48))</f>
        <v>-41.053409503665613</v>
      </c>
      <c r="R48" s="643">
        <f t="shared" ref="R48:R53" si="16">IF(Q48=0,O48,O48-P48/Q48)</f>
        <v>-0.12161614327887833</v>
      </c>
      <c r="T48" s="673"/>
      <c r="U48" s="674" t="s">
        <v>2383</v>
      </c>
      <c r="V48" s="675"/>
      <c r="W48" s="675"/>
      <c r="X48" s="675"/>
      <c r="Y48" s="675"/>
      <c r="Z48" s="675"/>
      <c r="AA48" s="675"/>
      <c r="AB48" s="676"/>
    </row>
    <row r="49" spans="1:28" s="625" customFormat="1">
      <c r="A49" s="643">
        <f t="shared" si="12"/>
        <v>3</v>
      </c>
      <c r="B49" s="643">
        <f t="shared" si="13"/>
        <v>45</v>
      </c>
      <c r="C49" s="643">
        <f t="shared" si="2"/>
        <v>8.7921734954481273E-2</v>
      </c>
      <c r="D49" s="643">
        <f t="shared" si="3"/>
        <v>0.22491446727908376</v>
      </c>
      <c r="E49" s="643">
        <f t="shared" si="4"/>
        <v>18.975509999999996</v>
      </c>
      <c r="F49" s="643">
        <f t="shared" si="5"/>
        <v>18.975510000000003</v>
      </c>
      <c r="G49" s="643">
        <f t="shared" si="6"/>
        <v>-0.95399413619382578</v>
      </c>
      <c r="H49" s="643">
        <f t="shared" si="7"/>
        <v>4.6285351361905915</v>
      </c>
      <c r="I49" s="643">
        <f t="shared" si="8"/>
        <v>47.703435402713694</v>
      </c>
      <c r="J49" s="643">
        <f t="shared" si="11"/>
        <v>52.429262559819961</v>
      </c>
      <c r="K49" s="643">
        <f t="shared" si="9"/>
        <v>43.664672206623266</v>
      </c>
      <c r="L49" s="670">
        <f t="shared" si="10"/>
        <v>48.657429538907522</v>
      </c>
      <c r="M49" s="671"/>
      <c r="N49" s="643">
        <f>N48+1</f>
        <v>2</v>
      </c>
      <c r="O49" s="643">
        <f>R48</f>
        <v>-0.12161614327887833</v>
      </c>
      <c r="P49" s="643">
        <f t="shared" si="14"/>
        <v>9.7879130442197315E-2</v>
      </c>
      <c r="Q49" s="643">
        <f t="shared" si="15"/>
        <v>-42.249906670846862</v>
      </c>
      <c r="R49" s="643">
        <f t="shared" si="16"/>
        <v>-0.11929947235212962</v>
      </c>
      <c r="T49" s="673"/>
      <c r="U49" s="674" t="s">
        <v>2384</v>
      </c>
      <c r="V49" s="675"/>
      <c r="W49" s="675"/>
      <c r="X49" s="675" t="s">
        <v>2385</v>
      </c>
      <c r="Y49" s="675"/>
      <c r="Z49" s="675"/>
      <c r="AA49" s="675"/>
      <c r="AB49" s="676"/>
    </row>
    <row r="50" spans="1:28" s="625" customFormat="1">
      <c r="A50" s="643">
        <f t="shared" si="12"/>
        <v>4</v>
      </c>
      <c r="B50" s="643">
        <f t="shared" si="13"/>
        <v>60</v>
      </c>
      <c r="C50" s="643">
        <f t="shared" si="2"/>
        <v>2.6713726833761178E-2</v>
      </c>
      <c r="D50" s="643">
        <f t="shared" si="3"/>
        <v>0.24000651213559038</v>
      </c>
      <c r="E50" s="643">
        <f t="shared" si="4"/>
        <v>22.955299999999998</v>
      </c>
      <c r="F50" s="643">
        <f t="shared" si="5"/>
        <v>14.995720000000002</v>
      </c>
      <c r="G50" s="643">
        <f t="shared" si="6"/>
        <v>-3.3526065682741617</v>
      </c>
      <c r="H50" s="643">
        <f t="shared" si="7"/>
        <v>1.4063123678425431</v>
      </c>
      <c r="I50" s="643">
        <f t="shared" si="8"/>
        <v>50.102047834794035</v>
      </c>
      <c r="J50" s="643">
        <f t="shared" si="11"/>
        <v>53.737661301264581</v>
      </c>
      <c r="K50" s="643">
        <f t="shared" si="9"/>
        <v>38.867447342462597</v>
      </c>
      <c r="L50" s="670">
        <f t="shared" si="10"/>
        <v>53.454654403068197</v>
      </c>
      <c r="M50" s="671"/>
      <c r="N50" s="643">
        <f>N49+1</f>
        <v>3</v>
      </c>
      <c r="O50" s="643">
        <f>R49</f>
        <v>-0.11929947235212962</v>
      </c>
      <c r="P50" s="643">
        <f t="shared" si="14"/>
        <v>-7.0041688005062497E-7</v>
      </c>
      <c r="Q50" s="643">
        <f t="shared" si="15"/>
        <v>-42.25036017588458</v>
      </c>
      <c r="R50" s="643">
        <f t="shared" si="16"/>
        <v>-0.11929948892990262</v>
      </c>
      <c r="T50" s="673"/>
      <c r="U50" s="674" t="s">
        <v>2386</v>
      </c>
      <c r="V50" s="675"/>
      <c r="W50" s="675"/>
      <c r="X50" s="675"/>
      <c r="Y50" s="675"/>
      <c r="Z50" s="675" t="s">
        <v>2387</v>
      </c>
      <c r="AA50" s="675"/>
      <c r="AB50" s="676"/>
    </row>
    <row r="51" spans="1:28" s="625" customFormat="1">
      <c r="A51" s="643">
        <f t="shared" si="12"/>
        <v>5</v>
      </c>
      <c r="B51" s="643">
        <f t="shared" si="13"/>
        <v>75</v>
      </c>
      <c r="C51" s="643">
        <f t="shared" si="2"/>
        <v>-3.6314777624158884E-2</v>
      </c>
      <c r="D51" s="643">
        <f t="shared" si="3"/>
        <v>0.23874250981957107</v>
      </c>
      <c r="E51" s="643">
        <f t="shared" si="4"/>
        <v>25.868708483454544</v>
      </c>
      <c r="F51" s="643">
        <f t="shared" si="5"/>
        <v>12.08231151654546</v>
      </c>
      <c r="G51" s="643">
        <f t="shared" si="6"/>
        <v>-4.7740614124257874</v>
      </c>
      <c r="H51" s="643">
        <f t="shared" si="7"/>
        <v>-1.9117482643329049</v>
      </c>
      <c r="I51" s="643">
        <f t="shared" si="8"/>
        <v>51.523502678945661</v>
      </c>
      <c r="J51" s="643">
        <f t="shared" si="11"/>
        <v>56.666113280166869</v>
      </c>
      <c r="K51" s="643">
        <f t="shared" si="9"/>
        <v>36.024537654159353</v>
      </c>
      <c r="L51" s="670">
        <f t="shared" si="10"/>
        <v>56.297564091371449</v>
      </c>
      <c r="M51" s="671"/>
      <c r="N51" s="643">
        <f>N50+1</f>
        <v>4</v>
      </c>
      <c r="O51" s="643">
        <f>R50</f>
        <v>-0.11929948892990262</v>
      </c>
      <c r="P51" s="643">
        <f t="shared" si="14"/>
        <v>8.8817841970012523E-16</v>
      </c>
      <c r="Q51" s="643">
        <f t="shared" si="15"/>
        <v>-42.250360175884595</v>
      </c>
      <c r="R51" s="643">
        <f t="shared" si="16"/>
        <v>-0.11929948892990259</v>
      </c>
      <c r="T51" s="679"/>
      <c r="U51" s="680" t="s">
        <v>2388</v>
      </c>
      <c r="V51" s="681"/>
      <c r="W51" s="681"/>
      <c r="X51" s="681"/>
      <c r="Y51" s="681"/>
      <c r="Z51" s="681"/>
      <c r="AA51" s="681"/>
      <c r="AB51" s="682"/>
    </row>
    <row r="52" spans="1:28" s="625" customFormat="1">
      <c r="A52" s="643">
        <f t="shared" si="12"/>
        <v>6</v>
      </c>
      <c r="B52" s="643">
        <f t="shared" si="13"/>
        <v>90</v>
      </c>
      <c r="C52" s="643">
        <f t="shared" si="2"/>
        <v>-9.6868489999999988E-2</v>
      </c>
      <c r="D52" s="643">
        <f t="shared" si="3"/>
        <v>0.22120860000000001</v>
      </c>
      <c r="E52" s="643">
        <f t="shared" si="4"/>
        <v>26.935089999999999</v>
      </c>
      <c r="F52" s="643">
        <f t="shared" si="5"/>
        <v>11.015930000000001</v>
      </c>
      <c r="G52" s="643">
        <f t="shared" si="6"/>
        <v>-4.8374809910809642</v>
      </c>
      <c r="H52" s="643">
        <f t="shared" si="7"/>
        <v>-5.0995264116074468</v>
      </c>
      <c r="I52" s="643">
        <f t="shared" si="8"/>
        <v>51.586922257600833</v>
      </c>
      <c r="J52" s="643">
        <f t="shared" si="11"/>
        <v>58.615890315698095</v>
      </c>
      <c r="K52" s="643">
        <f t="shared" si="9"/>
        <v>35.897698496848989</v>
      </c>
      <c r="L52" s="670">
        <f t="shared" si="10"/>
        <v>56.424403248681799</v>
      </c>
      <c r="M52" s="671"/>
      <c r="N52" s="643">
        <f>N51+1</f>
        <v>5</v>
      </c>
      <c r="O52" s="643">
        <f>R51</f>
        <v>-0.11929948892990259</v>
      </c>
      <c r="P52" s="643">
        <f t="shared" si="14"/>
        <v>0</v>
      </c>
      <c r="Q52" s="643">
        <f t="shared" si="15"/>
        <v>-42.250360175884595</v>
      </c>
      <c r="R52" s="643">
        <f t="shared" si="16"/>
        <v>-0.11929948892990259</v>
      </c>
      <c r="T52" s="666" t="s">
        <v>2055</v>
      </c>
      <c r="U52" s="667" t="s">
        <v>2056</v>
      </c>
      <c r="V52" s="668"/>
      <c r="W52" s="668"/>
      <c r="X52" s="668"/>
      <c r="Y52" s="668"/>
      <c r="Z52" s="668"/>
      <c r="AA52" s="668"/>
      <c r="AB52" s="669"/>
    </row>
    <row r="53" spans="1:28" s="625" customFormat="1">
      <c r="A53" s="643">
        <f t="shared" si="12"/>
        <v>7</v>
      </c>
      <c r="B53" s="643">
        <f t="shared" si="13"/>
        <v>105</v>
      </c>
      <c r="C53" s="643">
        <f t="shared" si="2"/>
        <v>-0.15082077486508985</v>
      </c>
      <c r="D53" s="643">
        <f t="shared" si="3"/>
        <v>0.18859968965492491</v>
      </c>
      <c r="E53" s="643">
        <f t="shared" si="4"/>
        <v>25.868708483454544</v>
      </c>
      <c r="F53" s="643">
        <f t="shared" si="5"/>
        <v>12.08231151654546</v>
      </c>
      <c r="G53" s="643">
        <f t="shared" si="6"/>
        <v>-3.5258720793547216</v>
      </c>
      <c r="H53" s="643">
        <f t="shared" si="7"/>
        <v>-7.9397802612967983</v>
      </c>
      <c r="I53" s="643">
        <f t="shared" si="8"/>
        <v>50.275313345874594</v>
      </c>
      <c r="J53" s="643">
        <f t="shared" si="11"/>
        <v>58.962768929510773</v>
      </c>
      <c r="K53" s="643">
        <f t="shared" si="9"/>
        <v>38.520916320301481</v>
      </c>
      <c r="L53" s="670">
        <f t="shared" si="10"/>
        <v>53.80118542522932</v>
      </c>
      <c r="M53" s="671"/>
      <c r="N53" s="643">
        <f>N52+1</f>
        <v>6</v>
      </c>
      <c r="O53" s="643">
        <f>R52</f>
        <v>-0.11929948892990259</v>
      </c>
      <c r="P53" s="643">
        <f t="shared" si="14"/>
        <v>0</v>
      </c>
      <c r="Q53" s="643">
        <f t="shared" si="15"/>
        <v>-42.250360175884595</v>
      </c>
      <c r="R53" s="643">
        <f t="shared" si="16"/>
        <v>-0.11929948892990259</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-0.19449487316623881</v>
      </c>
      <c r="D54" s="643">
        <f t="shared" si="3"/>
        <v>0.1431380221355904</v>
      </c>
      <c r="E54" s="643">
        <f t="shared" si="4"/>
        <v>22.955300000000001</v>
      </c>
      <c r="F54" s="643">
        <f t="shared" si="5"/>
        <v>14.995719999999995</v>
      </c>
      <c r="G54" s="643">
        <f t="shared" si="6"/>
        <v>-1.190679225929566</v>
      </c>
      <c r="H54" s="643">
        <f t="shared" si="7"/>
        <v>-10.238951207286037</v>
      </c>
      <c r="I54" s="643">
        <f t="shared" si="8"/>
        <v>47.940120492449438</v>
      </c>
      <c r="J54" s="643">
        <f t="shared" si="11"/>
        <v>58.248070766109301</v>
      </c>
      <c r="K54" s="643">
        <f t="shared" si="9"/>
        <v>43.191302027151785</v>
      </c>
      <c r="L54" s="670">
        <f t="shared" si="10"/>
        <v>49.130799718379002</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-0.22491446727908376</v>
      </c>
      <c r="D55" s="643">
        <f t="shared" si="3"/>
        <v>8.7921734954481273E-2</v>
      </c>
      <c r="E55" s="643">
        <f t="shared" si="4"/>
        <v>18.975510000000003</v>
      </c>
      <c r="F55" s="643">
        <f t="shared" si="5"/>
        <v>18.975509999999996</v>
      </c>
      <c r="G55" s="643">
        <f t="shared" si="6"/>
        <v>1.5423845299483006</v>
      </c>
      <c r="H55" s="643">
        <f t="shared" si="7"/>
        <v>-11.840354549165642</v>
      </c>
      <c r="I55" s="643">
        <f t="shared" si="8"/>
        <v>45.207056736571566</v>
      </c>
      <c r="J55" s="643">
        <f t="shared" si="11"/>
        <v>57.14744809900904</v>
      </c>
      <c r="K55" s="643">
        <f t="shared" si="9"/>
        <v>48.657429538907522</v>
      </c>
      <c r="L55" s="670">
        <f t="shared" si="10"/>
        <v>43.664672206623266</v>
      </c>
      <c r="M55" s="671"/>
      <c r="T55" s="673"/>
      <c r="U55" s="674" t="s">
        <v>2062</v>
      </c>
      <c r="V55" s="675"/>
      <c r="W55" s="675"/>
      <c r="X55" s="675"/>
      <c r="Y55" s="675"/>
      <c r="Z55" s="675"/>
      <c r="AA55" s="675"/>
      <c r="AB55" s="676"/>
    </row>
    <row r="56" spans="1:28" s="625" customFormat="1">
      <c r="A56" s="643">
        <f t="shared" si="12"/>
        <v>10</v>
      </c>
      <c r="B56" s="643">
        <f t="shared" si="13"/>
        <v>150</v>
      </c>
      <c r="C56" s="643">
        <f t="shared" si="2"/>
        <v>-0.24000651213559038</v>
      </c>
      <c r="D56" s="643">
        <f t="shared" si="3"/>
        <v>2.6713726833761123E-2</v>
      </c>
      <c r="E56" s="643">
        <f t="shared" si="4"/>
        <v>14.995719999999999</v>
      </c>
      <c r="F56" s="643">
        <f t="shared" si="5"/>
        <v>22.955300000000001</v>
      </c>
      <c r="G56" s="643">
        <f t="shared" si="6"/>
        <v>3.9409969620286383</v>
      </c>
      <c r="H56" s="643">
        <f t="shared" si="7"/>
        <v>-12.634857295630669</v>
      </c>
      <c r="I56" s="643">
        <f t="shared" si="8"/>
        <v>42.808444304491232</v>
      </c>
      <c r="J56" s="643">
        <f>SQRT(G56^2+H56^2)+I56</f>
        <v>56.043665342905001</v>
      </c>
      <c r="K56" s="643">
        <f t="shared" si="9"/>
        <v>53.454654403068204</v>
      </c>
      <c r="L56" s="670">
        <f t="shared" si="10"/>
        <v>38.867447342462597</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-0.2387425098195711</v>
      </c>
      <c r="D57" s="643">
        <f t="shared" si="3"/>
        <v>-3.6314777624158807E-2</v>
      </c>
      <c r="E57" s="643">
        <f t="shared" si="4"/>
        <v>12.082311516545461</v>
      </c>
      <c r="F57" s="643">
        <f t="shared" si="5"/>
        <v>25.86870848345454</v>
      </c>
      <c r="G57" s="643">
        <f t="shared" si="6"/>
        <v>5.3624518061802595</v>
      </c>
      <c r="H57" s="643">
        <f t="shared" si="7"/>
        <v>-12.568315397487389</v>
      </c>
      <c r="I57" s="643">
        <f t="shared" si="8"/>
        <v>41.386989460339613</v>
      </c>
      <c r="J57" s="643">
        <f t="shared" si="11"/>
        <v>55.051485107977854</v>
      </c>
      <c r="K57" s="643">
        <f t="shared" si="9"/>
        <v>56.297564091371441</v>
      </c>
      <c r="L57" s="670">
        <f t="shared" si="10"/>
        <v>36.024537654159353</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-0.22120860000000001</v>
      </c>
      <c r="D58" s="643">
        <f t="shared" si="3"/>
        <v>-9.6868489999999974E-2</v>
      </c>
      <c r="E58" s="643">
        <f t="shared" si="4"/>
        <v>11.015930000000001</v>
      </c>
      <c r="F58" s="643">
        <f t="shared" si="5"/>
        <v>26.935089999999999</v>
      </c>
      <c r="G58" s="643">
        <f t="shared" si="6"/>
        <v>5.425871384835439</v>
      </c>
      <c r="H58" s="643">
        <f t="shared" si="7"/>
        <v>-11.645263575128581</v>
      </c>
      <c r="I58" s="643">
        <f t="shared" si="8"/>
        <v>41.323569881684435</v>
      </c>
      <c r="J58" s="643">
        <f t="shared" si="11"/>
        <v>54.170835895081701</v>
      </c>
      <c r="K58" s="643">
        <f t="shared" si="9"/>
        <v>56.424403248681799</v>
      </c>
      <c r="L58" s="670">
        <f t="shared" si="10"/>
        <v>35.897698496848989</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-0.18859968965492496</v>
      </c>
      <c r="D59" s="643">
        <f t="shared" si="3"/>
        <v>-0.15082077486508977</v>
      </c>
      <c r="E59" s="643">
        <f t="shared" si="4"/>
        <v>12.082311516545456</v>
      </c>
      <c r="F59" s="643">
        <f t="shared" si="5"/>
        <v>25.868708483454547</v>
      </c>
      <c r="G59" s="643">
        <f t="shared" si="6"/>
        <v>4.1142624731091981</v>
      </c>
      <c r="H59" s="643">
        <f t="shared" si="7"/>
        <v>-9.9286062848327425</v>
      </c>
      <c r="I59" s="643">
        <f t="shared" si="8"/>
        <v>42.635178793410674</v>
      </c>
      <c r="J59" s="643">
        <f t="shared" si="11"/>
        <v>53.382475125830979</v>
      </c>
      <c r="K59" s="643">
        <f t="shared" si="9"/>
        <v>53.80118542522932</v>
      </c>
      <c r="L59" s="670">
        <f t="shared" si="10"/>
        <v>38.520916320301481</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-0.14313802213559035</v>
      </c>
      <c r="D60" s="643">
        <f t="shared" si="3"/>
        <v>-0.19449487316623887</v>
      </c>
      <c r="E60" s="643">
        <f t="shared" si="4"/>
        <v>14.995720000000002</v>
      </c>
      <c r="F60" s="643">
        <f t="shared" si="5"/>
        <v>22.955299999999998</v>
      </c>
      <c r="G60" s="643">
        <f t="shared" si="6"/>
        <v>1.779069619684039</v>
      </c>
      <c r="H60" s="643">
        <f t="shared" si="7"/>
        <v>-7.5353308840232183</v>
      </c>
      <c r="I60" s="643">
        <f t="shared" si="8"/>
        <v>44.970371646835837</v>
      </c>
      <c r="J60" s="643">
        <f t="shared" si="11"/>
        <v>52.71287125893766</v>
      </c>
      <c r="K60" s="643">
        <f t="shared" si="9"/>
        <v>49.130799718378995</v>
      </c>
      <c r="L60" s="670">
        <f t="shared" si="10"/>
        <v>43.191302027151792</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-8.7921734954481301E-2</v>
      </c>
      <c r="D61" s="643">
        <f t="shared" si="3"/>
        <v>-0.22491446727908379</v>
      </c>
      <c r="E61" s="643">
        <f t="shared" si="4"/>
        <v>18.97551</v>
      </c>
      <c r="F61" s="643">
        <f t="shared" si="5"/>
        <v>18.975510000000003</v>
      </c>
      <c r="G61" s="643">
        <f t="shared" si="6"/>
        <v>-0.95399413619382756</v>
      </c>
      <c r="H61" s="643">
        <f t="shared" si="7"/>
        <v>-4.6285351361905933</v>
      </c>
      <c r="I61" s="643">
        <f t="shared" si="8"/>
        <v>47.703435402713701</v>
      </c>
      <c r="J61" s="643">
        <f t="shared" si="11"/>
        <v>52.429262559819968</v>
      </c>
      <c r="K61" s="643">
        <f t="shared" si="9"/>
        <v>43.664672206623266</v>
      </c>
      <c r="L61" s="670">
        <f t="shared" si="10"/>
        <v>48.657429538907522</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-2.6713726833761262E-2</v>
      </c>
      <c r="D62" s="643">
        <f t="shared" si="3"/>
        <v>-0.24000651213559035</v>
      </c>
      <c r="E62" s="643">
        <f t="shared" si="4"/>
        <v>22.955299999999994</v>
      </c>
      <c r="F62" s="643">
        <f t="shared" si="5"/>
        <v>14.995720000000007</v>
      </c>
      <c r="G62" s="643">
        <f t="shared" si="6"/>
        <v>-3.3526065682741581</v>
      </c>
      <c r="H62" s="643">
        <f t="shared" si="7"/>
        <v>-1.4063123678425473</v>
      </c>
      <c r="I62" s="643">
        <f t="shared" si="8"/>
        <v>50.102047834794028</v>
      </c>
      <c r="J62" s="643">
        <f t="shared" si="11"/>
        <v>53.737661301264566</v>
      </c>
      <c r="K62" s="643">
        <f t="shared" si="9"/>
        <v>38.867447342462604</v>
      </c>
      <c r="L62" s="670">
        <f t="shared" si="10"/>
        <v>53.45465440306819</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3.6314777624158905E-2</v>
      </c>
      <c r="D63" s="643">
        <f t="shared" si="3"/>
        <v>-0.23874250981957107</v>
      </c>
      <c r="E63" s="643">
        <f t="shared" si="4"/>
        <v>25.868708483454544</v>
      </c>
      <c r="F63" s="643">
        <f t="shared" si="5"/>
        <v>12.082311516545458</v>
      </c>
      <c r="G63" s="643">
        <f t="shared" si="6"/>
        <v>-4.7740614124257874</v>
      </c>
      <c r="H63" s="643">
        <f t="shared" si="7"/>
        <v>1.911748264332906</v>
      </c>
      <c r="I63" s="643">
        <f t="shared" si="8"/>
        <v>51.523502678945661</v>
      </c>
      <c r="J63" s="643">
        <f t="shared" si="11"/>
        <v>56.666113280166869</v>
      </c>
      <c r="K63" s="643">
        <f t="shared" si="9"/>
        <v>36.024537654159353</v>
      </c>
      <c r="L63" s="670">
        <f t="shared" si="10"/>
        <v>56.297564091371449</v>
      </c>
      <c r="M63" s="671"/>
      <c r="N63" s="638">
        <f>O70*180/PI()-INT(O70*180/PI()/360)*360</f>
        <v>101.03989912725586</v>
      </c>
      <c r="O63" s="638">
        <f>INDEX($B73:$B85,MATCH($J$43,$J$73:$J$85,0))</f>
        <v>101</v>
      </c>
      <c r="P63" s="653"/>
      <c r="Q63" s="687"/>
      <c r="R63" s="687"/>
      <c r="S63" s="687"/>
      <c r="V63" s="687"/>
      <c r="W63" s="687"/>
      <c r="X63" s="687"/>
      <c r="Y63" s="687"/>
      <c r="Z63" s="687"/>
      <c r="AA63" s="687"/>
      <c r="AB63" s="688"/>
    </row>
    <row r="64" spans="1:28" s="625" customFormat="1">
      <c r="A64" s="643">
        <f t="shared" si="12"/>
        <v>18</v>
      </c>
      <c r="B64" s="643">
        <f t="shared" si="13"/>
        <v>270</v>
      </c>
      <c r="C64" s="643">
        <f t="shared" si="2"/>
        <v>9.686848999999996E-2</v>
      </c>
      <c r="D64" s="643">
        <f t="shared" si="3"/>
        <v>-0.22120860000000003</v>
      </c>
      <c r="E64" s="643">
        <f t="shared" si="4"/>
        <v>26.935089999999999</v>
      </c>
      <c r="F64" s="643">
        <f t="shared" si="5"/>
        <v>11.015930000000001</v>
      </c>
      <c r="G64" s="643">
        <f t="shared" si="6"/>
        <v>-4.8374809910809642</v>
      </c>
      <c r="H64" s="643">
        <f t="shared" si="7"/>
        <v>5.099526411607445</v>
      </c>
      <c r="I64" s="643">
        <f t="shared" si="8"/>
        <v>51.58692225760084</v>
      </c>
      <c r="J64" s="643">
        <f t="shared" si="11"/>
        <v>58.615890315698103</v>
      </c>
      <c r="K64" s="643">
        <f t="shared" si="9"/>
        <v>35.897698496848989</v>
      </c>
      <c r="L64" s="670">
        <f t="shared" si="10"/>
        <v>56.424403248681799</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0.15082077486508988</v>
      </c>
      <c r="D65" s="643">
        <f t="shared" si="3"/>
        <v>-0.18859968965492488</v>
      </c>
      <c r="E65" s="643">
        <f t="shared" si="4"/>
        <v>25.86870848345454</v>
      </c>
      <c r="F65" s="643">
        <f t="shared" si="5"/>
        <v>12.082311516545463</v>
      </c>
      <c r="G65" s="643">
        <f t="shared" si="6"/>
        <v>-3.525872079354718</v>
      </c>
      <c r="H65" s="643">
        <f t="shared" si="7"/>
        <v>7.9397802612968</v>
      </c>
      <c r="I65" s="643">
        <f t="shared" si="8"/>
        <v>50.275313345874594</v>
      </c>
      <c r="J65" s="643">
        <f t="shared" si="11"/>
        <v>58.962768929510773</v>
      </c>
      <c r="K65" s="643">
        <f t="shared" si="9"/>
        <v>38.520916320301488</v>
      </c>
      <c r="L65" s="670">
        <f t="shared" si="10"/>
        <v>53.801185425229306</v>
      </c>
      <c r="M65" s="671"/>
      <c r="N65" s="643">
        <v>1</v>
      </c>
      <c r="O65" s="643">
        <f>O63*PI()/180</f>
        <v>1.7627825445142729</v>
      </c>
      <c r="P65" s="643">
        <f t="shared" ref="P65:P70" si="17">SIN(O65)</f>
        <v>0.98162718344766398</v>
      </c>
      <c r="Q65" s="643">
        <f t="shared" ref="Q65:Q70" si="18">COS(O65)</f>
        <v>-0.1908089953765448</v>
      </c>
      <c r="R65" s="643">
        <f t="shared" ref="R65:R70" si="19">($E$18*($E$19*Q65-$E$20*P65+$E$28)^2-$E$18*($E$21+$E$26)^2+$E$24-$E$22*Q65^2-$E$23*P65^2)/2</f>
        <v>-3.9962321574626127</v>
      </c>
      <c r="S65" s="643">
        <f t="shared" ref="S65:S70" si="20">$E$18*($E$19*Q65-$E$20*P65+$E$28)*(-$E$19*P65-$E$20*Q65)-($E$23-$E$22)*P65*Q65</f>
        <v>6.1593214647011072</v>
      </c>
      <c r="T65" s="643">
        <f t="shared" ref="T65:T70" si="21">$E$18*(-$E$19*P65-$E$20*Q65)^2+$E$18*($E$19*Q65-$E$20*P65+$E$28)*(-$E$19*Q65+$E$20*P65)-($E$23-$E$22)*(Q65^2-P65^2)</f>
        <v>17.161709417359408</v>
      </c>
      <c r="U65" s="643">
        <f t="shared" ref="U65:U70" si="22">$E$18*($E$19*Q65-$E$20*P65+$E$28)*($E$21+$E$26)</f>
        <v>-7.2278547920085456</v>
      </c>
      <c r="V65" s="643">
        <f t="shared" ref="V65:V70" si="23">$E$18*($E$21+$E$26)*(-$E$19*P65-$E$20*Q65)</f>
        <v>-10.458271772264169</v>
      </c>
      <c r="W65" s="643">
        <f t="shared" ref="W65:W70" si="24">$E$18*($E$21+$E$26)*(-$E$19*Q65+$E$20*P65)</f>
        <v>7.2278547920085456</v>
      </c>
      <c r="X65" s="643">
        <f t="shared" ref="X65:X70" si="25">S65+2*($E$23-$E$22)*P65*Q65+2*$E$18*($E$19*P65+$E$20*Q65+$E$27)*($E$19*Q65-$E$20*P65)</f>
        <v>-6.1593214647011072</v>
      </c>
      <c r="Y65" s="643">
        <f t="shared" ref="Y65:Y70" si="26">T65+2*($E$23-$E$22)*(Q65^2-P65^2)+2*$E$18*($E$19*Q65-$E$20*P65)^2+2*$E$18*($E$19*P65+$E$20*Q65+$E$27)*(-$E$19*P65-$E$20*Q65)</f>
        <v>-17.161709417359411</v>
      </c>
      <c r="Z65" s="643">
        <f t="shared" ref="Z65:Z70" si="27">IF(OR(R65,U65),(R65^2+U65^2)^(-0.5)*(R65*S65+U65*V65)+X65,0)</f>
        <v>1.291959158457523E-2</v>
      </c>
      <c r="AA65" s="643">
        <f t="shared" ref="AA65:AA70" si="28">IF(OR(R65,U65),(-1)*(R65^2+U65^2)^(-1.5)*(R65*S65+U65*V65)^2+(R65^2+U65^2)^(-0.5)*(S65^2+R65*T65+V65^2+U65*W65)+Y65,0)</f>
        <v>-18.567191045868519</v>
      </c>
      <c r="AB65" s="643">
        <f t="shared" ref="AB65:AB70" si="29">IF(AA65=0,O65,O65-Z65/AA65)</f>
        <v>1.7634783736007866</v>
      </c>
    </row>
    <row r="66" spans="1:28" s="625" customFormat="1">
      <c r="A66" s="643">
        <f t="shared" si="12"/>
        <v>20</v>
      </c>
      <c r="B66" s="643">
        <f t="shared" si="13"/>
        <v>300</v>
      </c>
      <c r="C66" s="643">
        <f t="shared" si="2"/>
        <v>0.19449487316623887</v>
      </c>
      <c r="D66" s="643">
        <f t="shared" si="3"/>
        <v>-0.14313802213559035</v>
      </c>
      <c r="E66" s="643">
        <f t="shared" si="4"/>
        <v>22.955299999999998</v>
      </c>
      <c r="F66" s="643">
        <f t="shared" si="5"/>
        <v>14.995720000000002</v>
      </c>
      <c r="G66" s="643">
        <f t="shared" si="6"/>
        <v>-1.1906792259295624</v>
      </c>
      <c r="H66" s="643">
        <f t="shared" si="7"/>
        <v>10.238951207286041</v>
      </c>
      <c r="I66" s="643">
        <f t="shared" si="8"/>
        <v>47.940120492449438</v>
      </c>
      <c r="J66" s="643">
        <f t="shared" si="11"/>
        <v>58.248070766109308</v>
      </c>
      <c r="K66" s="643">
        <f t="shared" si="9"/>
        <v>43.191302027151792</v>
      </c>
      <c r="L66" s="670">
        <f t="shared" si="10"/>
        <v>49.130799718378995</v>
      </c>
      <c r="M66" s="671"/>
      <c r="N66" s="643">
        <f>N65+1</f>
        <v>2</v>
      </c>
      <c r="O66" s="643">
        <f>AB65</f>
        <v>1.7634783736007866</v>
      </c>
      <c r="P66" s="643">
        <f t="shared" si="17"/>
        <v>0.98149417536823524</v>
      </c>
      <c r="Q66" s="643">
        <f t="shared" si="18"/>
        <v>-0.19149199387501281</v>
      </c>
      <c r="R66" s="643">
        <f t="shared" si="19"/>
        <v>-3.9919421691562835</v>
      </c>
      <c r="S66" s="643">
        <f t="shared" si="20"/>
        <v>6.1712571130170417</v>
      </c>
      <c r="T66" s="643">
        <f t="shared" si="21"/>
        <v>17.14454946413408</v>
      </c>
      <c r="U66" s="643">
        <f t="shared" si="22"/>
        <v>-7.2351302113306195</v>
      </c>
      <c r="V66" s="643">
        <f t="shared" si="23"/>
        <v>-10.453239889239573</v>
      </c>
      <c r="W66" s="643">
        <f t="shared" si="24"/>
        <v>7.2351302113306186</v>
      </c>
      <c r="X66" s="643">
        <f t="shared" si="25"/>
        <v>-6.1712571130170408</v>
      </c>
      <c r="Y66" s="643">
        <f t="shared" si="26"/>
        <v>-17.14454946413408</v>
      </c>
      <c r="Z66" s="643">
        <f t="shared" si="27"/>
        <v>1.0048732849377018E-5</v>
      </c>
      <c r="AA66" s="643">
        <f t="shared" si="28"/>
        <v>-18.538303738813809</v>
      </c>
      <c r="AB66" s="643">
        <f t="shared" si="29"/>
        <v>1.7634789156532307</v>
      </c>
    </row>
    <row r="67" spans="1:28" s="625" customFormat="1">
      <c r="A67" s="643">
        <f t="shared" si="12"/>
        <v>21</v>
      </c>
      <c r="B67" s="643">
        <f t="shared" si="13"/>
        <v>315</v>
      </c>
      <c r="C67" s="643">
        <f t="shared" si="2"/>
        <v>0.22491446727908376</v>
      </c>
      <c r="D67" s="643">
        <f t="shared" si="3"/>
        <v>-8.7921734954481315E-2</v>
      </c>
      <c r="E67" s="643">
        <f t="shared" si="4"/>
        <v>18.975510000000003</v>
      </c>
      <c r="F67" s="643">
        <f t="shared" si="5"/>
        <v>18.975509999999996</v>
      </c>
      <c r="G67" s="643">
        <f t="shared" si="6"/>
        <v>1.5423845299483006</v>
      </c>
      <c r="H67" s="643">
        <f t="shared" si="7"/>
        <v>11.840354549165642</v>
      </c>
      <c r="I67" s="643">
        <f t="shared" si="8"/>
        <v>45.207056736571566</v>
      </c>
      <c r="J67" s="643">
        <f t="shared" si="11"/>
        <v>57.14744809900904</v>
      </c>
      <c r="K67" s="643">
        <f t="shared" si="9"/>
        <v>48.657429538907522</v>
      </c>
      <c r="L67" s="670">
        <f t="shared" si="10"/>
        <v>43.664672206623266</v>
      </c>
      <c r="M67" s="671"/>
      <c r="N67" s="643">
        <f>N66+1</f>
        <v>3</v>
      </c>
      <c r="O67" s="643">
        <f>AB66</f>
        <v>1.7634789156532307</v>
      </c>
      <c r="P67" s="643">
        <f t="shared" si="17"/>
        <v>0.98149407156938773</v>
      </c>
      <c r="Q67" s="643">
        <f t="shared" si="18"/>
        <v>-0.19149252589630125</v>
      </c>
      <c r="R67" s="643">
        <f t="shared" si="19"/>
        <v>-3.991938824008761</v>
      </c>
      <c r="S67" s="643">
        <f t="shared" si="20"/>
        <v>6.1712664062583542</v>
      </c>
      <c r="T67" s="643">
        <f t="shared" si="21"/>
        <v>17.144536083543997</v>
      </c>
      <c r="U67" s="643">
        <f t="shared" si="22"/>
        <v>-7.2351358775337866</v>
      </c>
      <c r="V67" s="643">
        <f t="shared" si="23"/>
        <v>-10.453235967418022</v>
      </c>
      <c r="W67" s="643">
        <f t="shared" si="24"/>
        <v>7.2351358775337866</v>
      </c>
      <c r="X67" s="643">
        <f t="shared" si="25"/>
        <v>-6.1712664062583533</v>
      </c>
      <c r="Y67" s="643">
        <f t="shared" si="26"/>
        <v>-17.144536083544001</v>
      </c>
      <c r="Z67" s="643">
        <f t="shared" si="27"/>
        <v>6.1053384570186608E-12</v>
      </c>
      <c r="AA67" s="643">
        <f t="shared" si="28"/>
        <v>-18.538281224920237</v>
      </c>
      <c r="AB67" s="643">
        <f t="shared" si="29"/>
        <v>1.76347891565356</v>
      </c>
    </row>
    <row r="68" spans="1:28" s="625" customFormat="1">
      <c r="A68" s="643">
        <f t="shared" si="12"/>
        <v>22</v>
      </c>
      <c r="B68" s="643">
        <f t="shared" si="13"/>
        <v>330</v>
      </c>
      <c r="C68" s="643">
        <f t="shared" si="2"/>
        <v>0.24000651213559035</v>
      </c>
      <c r="D68" s="643">
        <f t="shared" si="3"/>
        <v>-2.6713726833761262E-2</v>
      </c>
      <c r="E68" s="643">
        <f t="shared" si="4"/>
        <v>14.995720000000007</v>
      </c>
      <c r="F68" s="643">
        <f t="shared" si="5"/>
        <v>22.955299999999994</v>
      </c>
      <c r="G68" s="643">
        <f t="shared" si="6"/>
        <v>3.9409969620286338</v>
      </c>
      <c r="H68" s="643">
        <f t="shared" si="7"/>
        <v>12.634857295630667</v>
      </c>
      <c r="I68" s="643">
        <f t="shared" si="8"/>
        <v>42.808444304491239</v>
      </c>
      <c r="J68" s="643">
        <f t="shared" si="11"/>
        <v>56.043665342905008</v>
      </c>
      <c r="K68" s="643">
        <f t="shared" si="9"/>
        <v>53.45465440306819</v>
      </c>
      <c r="L68" s="670">
        <f t="shared" si="10"/>
        <v>38.867447342462604</v>
      </c>
      <c r="M68" s="671"/>
      <c r="N68" s="643">
        <f>N67+1</f>
        <v>4</v>
      </c>
      <c r="O68" s="643">
        <f>AB67</f>
        <v>1.76347891565356</v>
      </c>
      <c r="P68" s="643">
        <f t="shared" si="17"/>
        <v>0.98149407156932467</v>
      </c>
      <c r="Q68" s="643">
        <f t="shared" si="18"/>
        <v>-0.19149252589662444</v>
      </c>
      <c r="R68" s="643">
        <f t="shared" si="19"/>
        <v>-3.9919388240067306</v>
      </c>
      <c r="S68" s="643">
        <f t="shared" si="20"/>
        <v>6.1712664062639986</v>
      </c>
      <c r="T68" s="643">
        <f t="shared" si="21"/>
        <v>17.144536083535872</v>
      </c>
      <c r="U68" s="643">
        <f t="shared" si="22"/>
        <v>-7.2351358775372274</v>
      </c>
      <c r="V68" s="643">
        <f t="shared" si="23"/>
        <v>-10.45323596741564</v>
      </c>
      <c r="W68" s="643">
        <f t="shared" si="24"/>
        <v>7.2351358775372274</v>
      </c>
      <c r="X68" s="643">
        <f t="shared" si="25"/>
        <v>-6.1712664062639986</v>
      </c>
      <c r="Y68" s="643">
        <f t="shared" si="26"/>
        <v>-17.144536083535868</v>
      </c>
      <c r="Z68" s="643">
        <f t="shared" si="27"/>
        <v>-1.7763568394002505E-15</v>
      </c>
      <c r="AA68" s="643">
        <f t="shared" si="28"/>
        <v>-18.538281224906555</v>
      </c>
      <c r="AB68" s="643">
        <f t="shared" si="29"/>
        <v>1.76347891565356</v>
      </c>
    </row>
    <row r="69" spans="1:28" s="625" customFormat="1">
      <c r="A69" s="643">
        <f t="shared" si="12"/>
        <v>23</v>
      </c>
      <c r="B69" s="643">
        <f t="shared" si="13"/>
        <v>345</v>
      </c>
      <c r="C69" s="643">
        <f t="shared" si="2"/>
        <v>0.23874250981957107</v>
      </c>
      <c r="D69" s="643">
        <f t="shared" si="3"/>
        <v>3.6314777624158898E-2</v>
      </c>
      <c r="E69" s="643">
        <f t="shared" si="4"/>
        <v>12.082311516545458</v>
      </c>
      <c r="F69" s="643">
        <f t="shared" si="5"/>
        <v>25.868708483454544</v>
      </c>
      <c r="G69" s="643">
        <f t="shared" si="6"/>
        <v>5.3624518061802613</v>
      </c>
      <c r="H69" s="643">
        <f t="shared" si="7"/>
        <v>12.568315397487387</v>
      </c>
      <c r="I69" s="643">
        <f t="shared" si="8"/>
        <v>41.386989460339613</v>
      </c>
      <c r="J69" s="643">
        <f t="shared" si="11"/>
        <v>55.051485107977854</v>
      </c>
      <c r="K69" s="643">
        <f t="shared" si="9"/>
        <v>56.297564091371449</v>
      </c>
      <c r="L69" s="670">
        <f t="shared" si="10"/>
        <v>36.024537654159353</v>
      </c>
      <c r="M69" s="671"/>
      <c r="N69" s="643">
        <f>N68+1</f>
        <v>5</v>
      </c>
      <c r="O69" s="643">
        <f>AB68</f>
        <v>1.76347891565356</v>
      </c>
      <c r="P69" s="643">
        <f t="shared" si="17"/>
        <v>0.98149407156932467</v>
      </c>
      <c r="Q69" s="643">
        <f t="shared" si="18"/>
        <v>-0.19149252589662444</v>
      </c>
      <c r="R69" s="643">
        <f t="shared" si="19"/>
        <v>-3.9919388240067306</v>
      </c>
      <c r="S69" s="643">
        <f t="shared" si="20"/>
        <v>6.1712664062639986</v>
      </c>
      <c r="T69" s="643">
        <f t="shared" si="21"/>
        <v>17.144536083535872</v>
      </c>
      <c r="U69" s="643">
        <f t="shared" si="22"/>
        <v>-7.2351358775372274</v>
      </c>
      <c r="V69" s="643">
        <f t="shared" si="23"/>
        <v>-10.45323596741564</v>
      </c>
      <c r="W69" s="643">
        <f t="shared" si="24"/>
        <v>7.2351358775372274</v>
      </c>
      <c r="X69" s="643">
        <f t="shared" si="25"/>
        <v>-6.1712664062639986</v>
      </c>
      <c r="Y69" s="643">
        <f t="shared" si="26"/>
        <v>-17.144536083535868</v>
      </c>
      <c r="Z69" s="643">
        <f t="shared" si="27"/>
        <v>-1.7763568394002505E-15</v>
      </c>
      <c r="AA69" s="643">
        <f t="shared" si="28"/>
        <v>-18.538281224906555</v>
      </c>
      <c r="AB69" s="643">
        <f t="shared" si="29"/>
        <v>1.76347891565356</v>
      </c>
    </row>
    <row r="70" spans="1:28" s="625" customFormat="1">
      <c r="A70" s="643">
        <f t="shared" si="12"/>
        <v>24</v>
      </c>
      <c r="B70" s="643">
        <f t="shared" si="13"/>
        <v>360</v>
      </c>
      <c r="C70" s="643">
        <f t="shared" si="2"/>
        <v>0.22120860000000003</v>
      </c>
      <c r="D70" s="643">
        <f t="shared" si="3"/>
        <v>9.6868489999999946E-2</v>
      </c>
      <c r="E70" s="643">
        <f t="shared" si="4"/>
        <v>11.015930000000001</v>
      </c>
      <c r="F70" s="643">
        <f t="shared" si="5"/>
        <v>26.935089999999999</v>
      </c>
      <c r="G70" s="643">
        <f t="shared" si="6"/>
        <v>5.4258713848354407</v>
      </c>
      <c r="H70" s="643">
        <f t="shared" si="7"/>
        <v>11.645263575128581</v>
      </c>
      <c r="I70" s="643">
        <f t="shared" si="8"/>
        <v>41.323569881684435</v>
      </c>
      <c r="J70" s="643">
        <f t="shared" si="11"/>
        <v>54.170835895081701</v>
      </c>
      <c r="K70" s="643">
        <f t="shared" si="9"/>
        <v>56.424403248681799</v>
      </c>
      <c r="L70" s="670">
        <f t="shared" si="10"/>
        <v>35.897698496848989</v>
      </c>
      <c r="M70" s="671"/>
      <c r="N70" s="643">
        <f>N69+1</f>
        <v>6</v>
      </c>
      <c r="O70" s="643">
        <f>AB69</f>
        <v>1.76347891565356</v>
      </c>
      <c r="P70" s="643">
        <f t="shared" si="17"/>
        <v>0.98149407156932467</v>
      </c>
      <c r="Q70" s="643">
        <f t="shared" si="18"/>
        <v>-0.19149252589662444</v>
      </c>
      <c r="R70" s="643">
        <f t="shared" si="19"/>
        <v>-3.9919388240067306</v>
      </c>
      <c r="S70" s="643">
        <f t="shared" si="20"/>
        <v>6.1712664062639986</v>
      </c>
      <c r="T70" s="643">
        <f t="shared" si="21"/>
        <v>17.144536083535872</v>
      </c>
      <c r="U70" s="643">
        <f t="shared" si="22"/>
        <v>-7.2351358775372274</v>
      </c>
      <c r="V70" s="643">
        <f t="shared" si="23"/>
        <v>-10.45323596741564</v>
      </c>
      <c r="W70" s="643">
        <f t="shared" si="24"/>
        <v>7.2351358775372274</v>
      </c>
      <c r="X70" s="643">
        <f t="shared" si="25"/>
        <v>-6.1712664062639986</v>
      </c>
      <c r="Y70" s="643">
        <f t="shared" si="26"/>
        <v>-17.144536083535868</v>
      </c>
      <c r="Z70" s="643">
        <f t="shared" si="27"/>
        <v>-1.7763568394002505E-15</v>
      </c>
      <c r="AA70" s="643">
        <f t="shared" si="28"/>
        <v>-18.538281224906555</v>
      </c>
      <c r="AB70" s="643">
        <f t="shared" si="29"/>
        <v>1.76347891565356</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93</v>
      </c>
      <c r="C73" s="643">
        <f t="shared" ref="C73:C85" si="31">$E$19*COS(B73*PI()/180)-$E$20*SIN(B73*PI()/180)</f>
        <v>-0.10831289871124092</v>
      </c>
      <c r="D73" s="643">
        <f t="shared" ref="D73:D85" si="32">$E$19*SIN(B73*PI()/180)+$E$20*COS(B73*PI()/180)</f>
        <v>0.21583573624775063</v>
      </c>
      <c r="E73" s="643">
        <f t="shared" ref="E73:E85" si="33">$E$22*COS(B73*PI()/180)^2+$E$23*SIN(B73*PI()/180)^2</f>
        <v>26.891486587935397</v>
      </c>
      <c r="F73" s="643">
        <f t="shared" ref="F73:F85" si="34">$E$22*SIN(B73*PI()/180)^2+$E$23*COS(B73*PI()/180)^2</f>
        <v>11.059533412064598</v>
      </c>
      <c r="G73" s="643">
        <f t="shared" ref="G73:G85" si="35">($E$18*(C73+$E$28)^2-$E$18*($E$21+$E$26)^2+$E$24-E73)/2</f>
        <v>-4.6788978191341926</v>
      </c>
      <c r="H73" s="643">
        <f t="shared" ref="H73:H85" si="36">$E$18*(C73+$E$28)*($E$21+$E$26)</f>
        <v>-5.7020036927976818</v>
      </c>
      <c r="I73" s="643">
        <f t="shared" ref="I73:I85" si="37">$E$18*((C73+$E$28)^2+($E$21+$E$26)^2)/2+$E$18*(D73+$E$27)^2+($E$24+E73)/2</f>
        <v>51.428339085654066</v>
      </c>
      <c r="J73" s="643">
        <f>SQRT(G73^2+H73^2)+I73</f>
        <v>58.804308914400458</v>
      </c>
      <c r="K73" s="670">
        <f>IF(G73=0,0,IF((PI()/2-ATAN2(H73,G73))/2*180/PI()&gt;90,(PI()/2-ATAN2(H73,G73))/2*180/PI()-180,(PI()/2-ATAN2(H73,G73))/2*180/PI()))</f>
        <v>-64.685651533257982</v>
      </c>
      <c r="L73" s="670">
        <f>IF(G73=0,0,SQRT(G73^2+H73^2)*SIN(2*K73*PI()/180+ATAN2(H73,G73))+I73)</f>
        <v>58.804308914400458</v>
      </c>
    </row>
    <row r="74" spans="1:28" s="625" customFormat="1">
      <c r="A74" s="643">
        <v>1</v>
      </c>
      <c r="B74" s="643">
        <f t="shared" si="30"/>
        <v>95</v>
      </c>
      <c r="C74" s="643">
        <f t="shared" si="31"/>
        <v>-0.11577947598532291</v>
      </c>
      <c r="D74" s="643">
        <f t="shared" si="32"/>
        <v>0.21192418929750362</v>
      </c>
      <c r="E74" s="643">
        <f t="shared" si="33"/>
        <v>26.81416609472091</v>
      </c>
      <c r="F74" s="643">
        <f t="shared" si="34"/>
        <v>11.136853905279091</v>
      </c>
      <c r="G74" s="643">
        <f t="shared" si="35"/>
        <v>-4.5427734959010415</v>
      </c>
      <c r="H74" s="643">
        <f t="shared" si="36"/>
        <v>-6.0950727704047445</v>
      </c>
      <c r="I74" s="643">
        <f t="shared" si="37"/>
        <v>51.292214762420912</v>
      </c>
      <c r="J74" s="643">
        <f>SQRT(G74^2+H74^2)+I74</f>
        <v>58.893971343079777</v>
      </c>
      <c r="K74" s="670">
        <f t="shared" ref="K74:K85" si="38">IF(G74=0,0,IF((PI()/2-ATAN2(H74,G74))/2*180/PI()&gt;90,(PI()/2-ATAN2(H74,G74))/2*180/PI()-180,(PI()/2-ATAN2(H74,G74))/2*180/PI()))</f>
        <v>-63.348931175979359</v>
      </c>
      <c r="L74" s="670">
        <f t="shared" ref="L74:L85" si="39">IF(G74=0,0,SQRT(G74^2+H74^2)*SIN(2*K74*PI()/180+ATAN2(H74,G74))+I74)</f>
        <v>58.893971343079777</v>
      </c>
    </row>
    <row r="75" spans="1:28" s="625" customFormat="1">
      <c r="A75" s="643">
        <f>A74+1</f>
        <v>2</v>
      </c>
      <c r="B75" s="643">
        <f t="shared" si="30"/>
        <v>97</v>
      </c>
      <c r="C75" s="643">
        <f t="shared" si="31"/>
        <v>-0.12310499380237779</v>
      </c>
      <c r="D75" s="643">
        <f t="shared" si="32"/>
        <v>0.20775444536701648</v>
      </c>
      <c r="E75" s="643">
        <f t="shared" si="33"/>
        <v>26.698656456951902</v>
      </c>
      <c r="F75" s="643">
        <f t="shared" si="34"/>
        <v>11.252363543048107</v>
      </c>
      <c r="G75" s="643">
        <f t="shared" si="35"/>
        <v>-4.3830839474070693</v>
      </c>
      <c r="H75" s="643">
        <f t="shared" si="36"/>
        <v>-6.4807159407150516</v>
      </c>
      <c r="I75" s="643">
        <f t="shared" si="37"/>
        <v>51.13252521392694</v>
      </c>
      <c r="J75" s="643">
        <f t="shared" ref="J75:J84" si="40">SQRT(G75^2+H75^2)+I75</f>
        <v>58.956277765884067</v>
      </c>
      <c r="K75" s="670">
        <f t="shared" si="38"/>
        <v>-62.035777729172111</v>
      </c>
      <c r="L75" s="670">
        <f t="shared" si="39"/>
        <v>58.956277765884067</v>
      </c>
    </row>
    <row r="76" spans="1:28" s="625" customFormat="1">
      <c r="A76" s="643">
        <f t="shared" ref="A76:A84" si="41">A75+1</f>
        <v>3</v>
      </c>
      <c r="B76" s="643">
        <f t="shared" si="30"/>
        <v>99</v>
      </c>
      <c r="C76" s="643">
        <f t="shared" si="31"/>
        <v>-0.13028052714735514</v>
      </c>
      <c r="D76" s="643">
        <f t="shared" si="32"/>
        <v>0.2033315846469686</v>
      </c>
      <c r="E76" s="643">
        <f t="shared" si="33"/>
        <v>26.545520425972573</v>
      </c>
      <c r="F76" s="643">
        <f t="shared" si="34"/>
        <v>11.405499574027422</v>
      </c>
      <c r="G76" s="643">
        <f t="shared" si="35"/>
        <v>-4.200607165080589</v>
      </c>
      <c r="H76" s="643">
        <f t="shared" si="36"/>
        <v>-6.8584633569293638</v>
      </c>
      <c r="I76" s="643">
        <f t="shared" si="37"/>
        <v>50.950048431600457</v>
      </c>
      <c r="J76" s="643">
        <f t="shared" si="40"/>
        <v>58.992661201942518</v>
      </c>
      <c r="K76" s="670">
        <f t="shared" si="38"/>
        <v>-60.743122192984899</v>
      </c>
      <c r="L76" s="670">
        <f t="shared" si="39"/>
        <v>58.992661201942518</v>
      </c>
    </row>
    <row r="77" spans="1:28" s="625" customFormat="1">
      <c r="A77" s="643">
        <f t="shared" si="41"/>
        <v>4</v>
      </c>
      <c r="B77" s="643">
        <f t="shared" si="30"/>
        <v>101</v>
      </c>
      <c r="C77" s="643">
        <f t="shared" si="31"/>
        <v>-0.13729733373818015</v>
      </c>
      <c r="D77" s="643">
        <f t="shared" si="32"/>
        <v>0.19866099571185805</v>
      </c>
      <c r="E77" s="643">
        <f t="shared" si="33"/>
        <v>26.355504065132706</v>
      </c>
      <c r="F77" s="643">
        <f t="shared" si="34"/>
        <v>11.59551593486729</v>
      </c>
      <c r="G77" s="643">
        <f t="shared" si="35"/>
        <v>-3.9962321574626127</v>
      </c>
      <c r="H77" s="643">
        <f t="shared" si="36"/>
        <v>-7.2278547920085456</v>
      </c>
      <c r="I77" s="643">
        <f t="shared" si="37"/>
        <v>50.745673423982481</v>
      </c>
      <c r="J77" s="643">
        <f t="shared" si="40"/>
        <v>59.004714309624056</v>
      </c>
      <c r="K77" s="670">
        <f t="shared" si="38"/>
        <v>-59.468954917219023</v>
      </c>
      <c r="L77" s="670">
        <f t="shared" si="39"/>
        <v>59.004714309624056</v>
      </c>
    </row>
    <row r="78" spans="1:28" s="625" customFormat="1">
      <c r="A78" s="643">
        <f t="shared" si="41"/>
        <v>5</v>
      </c>
      <c r="B78" s="643">
        <f t="shared" si="30"/>
        <v>103</v>
      </c>
      <c r="C78" s="643">
        <f t="shared" si="31"/>
        <v>-0.14414686467687818</v>
      </c>
      <c r="D78" s="643">
        <f t="shared" si="32"/>
        <v>0.19374836895485309</v>
      </c>
      <c r="E78" s="643">
        <f t="shared" si="33"/>
        <v>26.129533115041919</v>
      </c>
      <c r="F78" s="643">
        <f t="shared" si="34"/>
        <v>11.821486884958075</v>
      </c>
      <c r="G78" s="643">
        <f t="shared" si="35"/>
        <v>-3.7709546190465417</v>
      </c>
      <c r="H78" s="643">
        <f t="shared" si="36"/>
        <v>-7.5884401993893462</v>
      </c>
      <c r="I78" s="643">
        <f t="shared" si="37"/>
        <v>50.520395885566415</v>
      </c>
      <c r="J78" s="643">
        <f t="shared" si="40"/>
        <v>58.994150861881025</v>
      </c>
      <c r="K78" s="670">
        <f t="shared" si="38"/>
        <v>-58.212173953717098</v>
      </c>
      <c r="L78" s="670">
        <f t="shared" si="39"/>
        <v>58.994150861881025</v>
      </c>
    </row>
    <row r="79" spans="1:28" s="625" customFormat="1" ht="14.25">
      <c r="A79" s="695">
        <f t="shared" si="41"/>
        <v>6</v>
      </c>
      <c r="B79" s="695">
        <f>INDEX($B46:$B70,MATCH($J$44,$J$46:$J$70,0))</f>
        <v>105</v>
      </c>
      <c r="C79" s="695">
        <f t="shared" si="31"/>
        <v>-0.15082077486508985</v>
      </c>
      <c r="D79" s="695">
        <f t="shared" si="32"/>
        <v>0.18859968965492491</v>
      </c>
      <c r="E79" s="695">
        <f t="shared" si="33"/>
        <v>25.868708483454544</v>
      </c>
      <c r="F79" s="695">
        <f t="shared" si="34"/>
        <v>12.08231151654546</v>
      </c>
      <c r="G79" s="695">
        <f t="shared" si="35"/>
        <v>-3.5258720793547216</v>
      </c>
      <c r="H79" s="695">
        <f t="shared" si="36"/>
        <v>-7.9397802612967983</v>
      </c>
      <c r="I79" s="695">
        <f t="shared" si="37"/>
        <v>50.275313345874594</v>
      </c>
      <c r="J79" s="695">
        <f t="shared" si="40"/>
        <v>58.962768929510773</v>
      </c>
      <c r="K79" s="670">
        <f t="shared" si="38"/>
        <v>-56.972447928971661</v>
      </c>
      <c r="L79" s="670">
        <f t="shared" si="39"/>
        <v>58.962768929510773</v>
      </c>
    </row>
    <row r="80" spans="1:28" s="625" customFormat="1">
      <c r="A80" s="643">
        <f t="shared" si="41"/>
        <v>7</v>
      </c>
      <c r="B80" s="643">
        <f t="shared" ref="B80:B85" si="42">B79+2</f>
        <v>107</v>
      </c>
      <c r="C80" s="643">
        <f t="shared" si="31"/>
        <v>-0.15731093317128772</v>
      </c>
      <c r="D80" s="643">
        <f t="shared" si="32"/>
        <v>0.18322123068470739</v>
      </c>
      <c r="E80" s="643">
        <f t="shared" si="33"/>
        <v>25.574300881757658</v>
      </c>
      <c r="F80" s="643">
        <f t="shared" si="34"/>
        <v>12.376719118242342</v>
      </c>
      <c r="G80" s="643">
        <f t="shared" si="35"/>
        <v>-3.2621785558849155</v>
      </c>
      <c r="H80" s="643">
        <f t="shared" si="36"/>
        <v>-8.2814469239852482</v>
      </c>
      <c r="I80" s="643">
        <f t="shared" si="37"/>
        <v>50.011619822404782</v>
      </c>
      <c r="J80" s="643">
        <f t="shared" si="40"/>
        <v>58.912415971360232</v>
      </c>
      <c r="K80" s="670">
        <f t="shared" si="38"/>
        <v>-55.750089417183503</v>
      </c>
      <c r="L80" s="670">
        <f t="shared" si="39"/>
        <v>58.912415971360232</v>
      </c>
    </row>
    <row r="81" spans="1:16" s="625" customFormat="1">
      <c r="A81" s="643">
        <f t="shared" si="41"/>
        <v>8</v>
      </c>
      <c r="B81" s="643">
        <f t="shared" si="42"/>
        <v>109</v>
      </c>
      <c r="C81" s="643">
        <f t="shared" si="31"/>
        <v>-0.16360943233730801</v>
      </c>
      <c r="D81" s="643">
        <f t="shared" si="32"/>
        <v>0.17761954486796755</v>
      </c>
      <c r="E81" s="643">
        <f t="shared" si="33"/>
        <v>25.247744634192991</v>
      </c>
      <c r="F81" s="643">
        <f t="shared" si="34"/>
        <v>12.703275365807004</v>
      </c>
      <c r="G81" s="643">
        <f t="shared" si="35"/>
        <v>-2.9811587369770933</v>
      </c>
      <c r="H81" s="643">
        <f t="shared" si="36"/>
        <v>-8.6130239192559301</v>
      </c>
      <c r="I81" s="643">
        <f t="shared" si="37"/>
        <v>49.73060000349696</v>
      </c>
      <c r="J81" s="643">
        <f t="shared" si="40"/>
        <v>58.844956176520355</v>
      </c>
      <c r="K81" s="670">
        <f t="shared" si="38"/>
        <v>-54.545936253394942</v>
      </c>
      <c r="L81" s="670">
        <f t="shared" si="39"/>
        <v>58.844956176520355</v>
      </c>
    </row>
    <row r="82" spans="1:16" s="625" customFormat="1">
      <c r="A82" s="643">
        <f t="shared" si="41"/>
        <v>9</v>
      </c>
      <c r="B82" s="643">
        <f t="shared" si="42"/>
        <v>111</v>
      </c>
      <c r="C82" s="643">
        <f t="shared" si="31"/>
        <v>-0.16970859861212645</v>
      </c>
      <c r="D82" s="643">
        <f t="shared" si="32"/>
        <v>0.17180145699599947</v>
      </c>
      <c r="E82" s="643">
        <f t="shared" si="33"/>
        <v>24.890630689973356</v>
      </c>
      <c r="F82" s="643">
        <f t="shared" si="34"/>
        <v>13.060389310026643</v>
      </c>
      <c r="G82" s="643">
        <f t="shared" si="35"/>
        <v>-2.6841817229409592</v>
      </c>
      <c r="H82" s="643">
        <f t="shared" si="36"/>
        <v>-8.9341072716156287</v>
      </c>
      <c r="I82" s="643">
        <f t="shared" si="37"/>
        <v>49.433622989460829</v>
      </c>
      <c r="J82" s="643">
        <f t="shared" si="40"/>
        <v>58.76224047880541</v>
      </c>
      <c r="K82" s="670">
        <f t="shared" si="38"/>
        <v>-53.361239512929203</v>
      </c>
      <c r="L82" s="670">
        <f t="shared" si="39"/>
        <v>58.76224047880541</v>
      </c>
    </row>
    <row r="83" spans="1:16" s="625" customFormat="1">
      <c r="A83" s="643">
        <f t="shared" si="41"/>
        <v>10</v>
      </c>
      <c r="B83" s="643">
        <f t="shared" si="42"/>
        <v>113</v>
      </c>
      <c r="C83" s="643">
        <f t="shared" si="31"/>
        <v>-0.17560100110114152</v>
      </c>
      <c r="D83" s="643">
        <f t="shared" si="32"/>
        <v>0.16577405551266761</v>
      </c>
      <c r="E83" s="643">
        <f t="shared" si="33"/>
        <v>24.504698872338025</v>
      </c>
      <c r="F83" s="643">
        <f t="shared" si="34"/>
        <v>13.446321127661973</v>
      </c>
      <c r="G83" s="643">
        <f t="shared" si="35"/>
        <v>-2.3726943559368721</v>
      </c>
      <c r="H83" s="643">
        <f t="shared" si="36"/>
        <v>-9.2443057904585864</v>
      </c>
      <c r="I83" s="643">
        <f t="shared" si="37"/>
        <v>49.122135622456739</v>
      </c>
      <c r="J83" s="643">
        <f t="shared" si="40"/>
        <v>58.666079673749202</v>
      </c>
      <c r="K83" s="670">
        <f t="shared" si="38"/>
        <v>-52.197557938338747</v>
      </c>
      <c r="L83" s="670">
        <f t="shared" si="39"/>
        <v>58.666079673749202</v>
      </c>
    </row>
    <row r="84" spans="1:16" s="625" customFormat="1">
      <c r="A84" s="643">
        <f t="shared" si="41"/>
        <v>11</v>
      </c>
      <c r="B84" s="643">
        <f t="shared" si="42"/>
        <v>115</v>
      </c>
      <c r="C84" s="643">
        <f t="shared" si="31"/>
        <v>-0.18127946081957552</v>
      </c>
      <c r="D84" s="643">
        <f t="shared" si="32"/>
        <v>0.1595446838782292</v>
      </c>
      <c r="E84" s="643">
        <f t="shared" si="33"/>
        <v>24.091829402308786</v>
      </c>
      <c r="F84" s="643">
        <f t="shared" si="34"/>
        <v>13.859190597691214</v>
      </c>
      <c r="G84" s="643">
        <f t="shared" si="35"/>
        <v>-2.0482141711062756</v>
      </c>
      <c r="H84" s="643">
        <f t="shared" si="36"/>
        <v>-9.543241546672018</v>
      </c>
      <c r="I84" s="643">
        <f t="shared" si="37"/>
        <v>48.797655437626148</v>
      </c>
      <c r="J84" s="643">
        <f t="shared" si="40"/>
        <v>58.558221021077117</v>
      </c>
      <c r="K84" s="670">
        <f t="shared" si="38"/>
        <v>-51.056659377761576</v>
      </c>
      <c r="L84" s="670">
        <f t="shared" si="39"/>
        <v>58.558221021077117</v>
      </c>
    </row>
    <row r="85" spans="1:16" s="625" customFormat="1">
      <c r="A85" s="643">
        <f>A84+1</f>
        <v>12</v>
      </c>
      <c r="B85" s="643">
        <f t="shared" si="42"/>
        <v>117</v>
      </c>
      <c r="C85" s="643">
        <f t="shared" si="31"/>
        <v>-0.18673705943896116</v>
      </c>
      <c r="D85" s="643">
        <f t="shared" si="32"/>
        <v>0.15312093162245971</v>
      </c>
      <c r="E85" s="643">
        <f t="shared" si="33"/>
        <v>23.654033738442124</v>
      </c>
      <c r="F85" s="643">
        <f t="shared" si="34"/>
        <v>14.296986261557876</v>
      </c>
      <c r="G85" s="643">
        <f t="shared" si="35"/>
        <v>-1.7123220032930284</v>
      </c>
      <c r="H85" s="643">
        <f t="shared" si="36"/>
        <v>-9.8305503330844957</v>
      </c>
      <c r="I85" s="643">
        <f t="shared" si="37"/>
        <v>48.461763269812899</v>
      </c>
      <c r="J85" s="643">
        <f>SQRT(G85^2+H85^2)+I85</f>
        <v>58.440328622320699</v>
      </c>
      <c r="K85" s="670">
        <f t="shared" si="38"/>
        <v>-49.94043028869811</v>
      </c>
      <c r="L85" s="670">
        <f t="shared" si="39"/>
        <v>58.440328622320699</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101.03989912725586</v>
      </c>
      <c r="C89" s="643">
        <f>$E$19*COS(B89*PI()/180)-$E$20*SIN(B89*PI()/180)</f>
        <v>-0.13743564222092844</v>
      </c>
      <c r="D89" s="643">
        <f>$E$19*SIN(B89*PI()/180)+$E$20*COS(B89*PI()/180)</f>
        <v>0.19856533765025822</v>
      </c>
      <c r="E89" s="643">
        <f>$E$22*COS(B89*PI()/180)^2+$E$23*SIN(B89*PI()/180)^2</f>
        <v>26.351344153695109</v>
      </c>
      <c r="F89" s="670">
        <f>$E$22*SIN(B89*PI()/180)^2+$E$23*COS(B89*PI()/180)^2</f>
        <v>11.599675846304891</v>
      </c>
      <c r="G89" s="643">
        <f>($E$18*(C89+$E$28)^2-$E$18*($E$21+$E$26)^2+$E$24-E89)/2</f>
        <v>-3.9919388240067306</v>
      </c>
      <c r="H89" s="643">
        <f>$E$18*(C89+$E$28)*($E$21+$E$26)</f>
        <v>-7.2351358775372274</v>
      </c>
      <c r="I89" s="643">
        <f>$E$18*((C89+$E$28)^2+($E$21+$E$26)^2)/2+$E$18*(D89+$E$27)^2+($E$24+E89)/2</f>
        <v>50.741380090526604</v>
      </c>
      <c r="J89" s="702">
        <f>SQRT(G89^2+H89^2)+I89</f>
        <v>59.004718806871146</v>
      </c>
      <c r="K89" s="659">
        <f>$E$18*((C89+$E$28)^2+($E$21+$E$26)^2)+F89</f>
        <v>37.588782830997459</v>
      </c>
      <c r="L89" s="659">
        <f>$E$18*(D89^2+($E$21+$E$26)^2)+E89</f>
        <v>54.733318914533335</v>
      </c>
      <c r="N89" s="643">
        <f>IF(G89=0,0,IF((PI()/2-ATAN2(H89,G89))/2*180/PI()&gt;90,(PI()/2-ATAN2(H89,G89))/2*180/PI()-180,(PI()/2-ATAN2(H89,G89))/2*180/PI()))</f>
        <v>-59.443715002454184</v>
      </c>
      <c r="O89" s="643">
        <f>IF(G89=0,0,SQRT(G89^2+H89^2)*SIN(2*N89*PI()/180+ATAN2(H89,G89))+I89)</f>
        <v>59.004718806871146</v>
      </c>
      <c r="P89" s="703"/>
    </row>
    <row r="90" spans="1:16" s="625" customFormat="1" ht="14.25">
      <c r="A90" s="664" t="s">
        <v>1584</v>
      </c>
      <c r="B90" s="701">
        <f>N46</f>
        <v>353.16464278624892</v>
      </c>
      <c r="C90" s="643">
        <f>$E$19*COS(B90*PI()/180)-$E$20*SIN(B90*PI()/180)</f>
        <v>0.23116527346429158</v>
      </c>
      <c r="D90" s="670">
        <f>$E$19*SIN(B90*PI()/180)+$E$20*COS(B90*PI()/180)</f>
        <v>6.9852454595521543E-2</v>
      </c>
      <c r="E90" s="670">
        <f>$E$22*COS(B90*PI()/180)^2+$E$23*SIN(B90*PI()/180)^2</f>
        <v>11.241424518672027</v>
      </c>
      <c r="F90" s="643">
        <f>$E$22*SIN(B90*PI()/180)^2+$E$23*COS(B90*PI()/180)^2</f>
        <v>26.709595481327973</v>
      </c>
      <c r="G90" s="670">
        <f>($E$18*(C90+$E$28)^2-$E$18*($E$21+$E$26)^2+$E$24-E90)/2</f>
        <v>5.5754902188628126</v>
      </c>
      <c r="H90" s="670">
        <f>$E$18*(C90+$E$28)*($E$21+$E$26)</f>
        <v>12.16942080420179</v>
      </c>
      <c r="I90" s="670">
        <f>$E$18*((C90+$E$28)^2+($E$21+$E$26)^2)/2+$E$18*(D90+$E$27)^2+($E$24+E90)/2</f>
        <v>41.173951047657056</v>
      </c>
      <c r="J90" s="670">
        <f>SQRT(G90^2+H90^2)+I90</f>
        <v>54.559797822903448</v>
      </c>
      <c r="K90" s="702">
        <f>$E$18*((C90+$E$28)^2+($E$21+$E$26)^2)+F90</f>
        <v>56.723640916736542</v>
      </c>
      <c r="L90" s="659">
        <f>$E$18*(D90^2+($E$21+$E$26)^2)+E90</f>
        <v>35.598460828794245</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0.24148861064000535</v>
      </c>
      <c r="P5" s="10"/>
      <c r="Q5" s="4" t="s">
        <v>91</v>
      </c>
      <c r="R5" s="10"/>
    </row>
    <row r="6" spans="1:18" ht="14.1" customHeight="1">
      <c r="B6" s="14" t="s">
        <v>427</v>
      </c>
      <c r="C6" s="72">
        <f>VLOOKUP($C$3,Table1,12)</f>
        <v>185</v>
      </c>
      <c r="D6" s="68">
        <f>HLOOKUP($C$4,$E$4:$H$12,3)</f>
        <v>116.5</v>
      </c>
      <c r="E6" s="68">
        <f>'Payload Input'!$E$18</f>
        <v>116.5</v>
      </c>
      <c r="F6" s="68">
        <f>'Payload Input'!$E$18</f>
        <v>116.5</v>
      </c>
      <c r="G6" s="147">
        <f>IF(('Misc Data'!$B$11=3),Anal_Input_1, 0)</f>
        <v>0</v>
      </c>
      <c r="H6" s="155">
        <f>I6</f>
        <v>0</v>
      </c>
      <c r="I6" s="156">
        <f>IF(('Misc Data'!$B$11=4),Anal_Input_1, 0)</f>
        <v>0</v>
      </c>
      <c r="J6" s="39"/>
      <c r="K6" s="51"/>
      <c r="L6" s="52"/>
      <c r="M6" s="400"/>
      <c r="N6" s="391" t="s">
        <v>840</v>
      </c>
      <c r="O6" s="52">
        <f>'Payload Input'!$E$21+'Payload Input'!$E$26</f>
        <v>0.45187820000000001</v>
      </c>
      <c r="Q6" s="31" t="s">
        <v>427</v>
      </c>
      <c r="R6" s="450">
        <f>D6</f>
        <v>116.5</v>
      </c>
    </row>
    <row r="7" spans="1:18" ht="14.1" customHeight="1">
      <c r="B7" s="14" t="s">
        <v>364</v>
      </c>
      <c r="C7" s="72">
        <f>VLOOKUP($C$3,Table1,6)</f>
        <v>1225</v>
      </c>
      <c r="D7" s="68">
        <f>IF(OR(Anal_Robot_Code=10111,Anal_Robot_Code=10214,Anal_Robot_Code=10215),"-",HLOOKUP($C$4,$E$4:$H$12,4))</f>
        <v>584.95905789534152</v>
      </c>
      <c r="E7" s="68">
        <f>'Payload Input'!$E$31</f>
        <v>584.95905789534152</v>
      </c>
      <c r="F7" s="68">
        <f>'Payload Input'!$E$31</f>
        <v>584.95905789534152</v>
      </c>
      <c r="G7" s="147">
        <f>IF(('Misc Data'!$B$11=3),Anal_Input_2, 0)</f>
        <v>0</v>
      </c>
      <c r="H7" s="155">
        <f>I7</f>
        <v>0</v>
      </c>
      <c r="I7" s="156">
        <f>IF(('Misc Data'!$B$11=4),Anal_Input_2, 0)</f>
        <v>0</v>
      </c>
      <c r="J7" s="39"/>
      <c r="K7" s="51" t="s">
        <v>1564</v>
      </c>
      <c r="L7" s="52">
        <f>D8*SIN(RADIANS(O10))</f>
        <v>275.70754676769417</v>
      </c>
      <c r="M7" s="39"/>
      <c r="N7" s="391" t="s">
        <v>3494</v>
      </c>
      <c r="O7" s="52">
        <f>DEGREES(IF(O6=0,0,ATAN2(O6,O5)))</f>
        <v>28.120530461499513</v>
      </c>
      <c r="Q7" s="31" t="s">
        <v>364</v>
      </c>
      <c r="R7" s="31">
        <f>IF(Axis_Type&lt;&gt;2,D7,IF(Wrist_Down_Fix=1,L7,D8))</f>
        <v>584.95905789534152</v>
      </c>
    </row>
    <row r="8" spans="1:18" ht="14.1" customHeight="1">
      <c r="A8" s="4"/>
      <c r="B8" s="14" t="s">
        <v>365</v>
      </c>
      <c r="C8" s="72">
        <f>VLOOKUP($C$3,Table1,7)</f>
        <v>1225</v>
      </c>
      <c r="D8" s="68">
        <f>HLOOKUP($C$4,$E$4:$H$12,5)</f>
        <v>584.95905789534152</v>
      </c>
      <c r="E8" s="68">
        <f>'Payload Input'!$E$32</f>
        <v>584.95905789534152</v>
      </c>
      <c r="F8" s="68">
        <f>'Payload Input'!$E$32</f>
        <v>584.95905789534152</v>
      </c>
      <c r="G8" s="147">
        <f>IF(('Misc Data'!$B$11=3),Anal_Input_3, 0)</f>
        <v>0</v>
      </c>
      <c r="H8" s="155">
        <f>I8</f>
        <v>0</v>
      </c>
      <c r="I8" s="156">
        <f>IF(('Misc Data'!$B$11=4),Anal_Input_3, 0)</f>
        <v>0</v>
      </c>
      <c r="J8" s="39"/>
      <c r="K8" s="51" t="s">
        <v>3182</v>
      </c>
      <c r="L8" s="52">
        <f>D9*SIN(RADIANS(L5))</f>
        <v>0</v>
      </c>
      <c r="M8" s="39"/>
      <c r="N8" s="391" t="s">
        <v>1493</v>
      </c>
      <c r="O8" s="52">
        <f>O7+L5</f>
        <v>28.120530461499513</v>
      </c>
      <c r="Q8" s="31" t="s">
        <v>365</v>
      </c>
      <c r="R8" s="31">
        <f>IF(Axis_Type&lt;&gt;2,D8,IF(Wrist_Down_Fix=1,L8,D9))</f>
        <v>584.95905789534152</v>
      </c>
    </row>
    <row r="9" spans="1:18" ht="14.1" customHeight="1">
      <c r="B9" s="14" t="s">
        <v>366</v>
      </c>
      <c r="C9" s="72">
        <f>VLOOKUP($C$3,Table1,8)</f>
        <v>706</v>
      </c>
      <c r="D9" s="68">
        <f>HLOOKUP($C$4,$E$4:$H$12,6)</f>
        <v>275.70754676769411</v>
      </c>
      <c r="E9" s="68">
        <f>'Payload Input'!$E$33</f>
        <v>275.70754676769411</v>
      </c>
      <c r="F9" s="68">
        <f>'Payload Input'!$E$33</f>
        <v>275.70754676769411</v>
      </c>
      <c r="G9" s="147">
        <f>IF(('Misc Data'!$B$11=3),Anal_Input_4, 0)</f>
        <v>0</v>
      </c>
      <c r="H9" s="155">
        <f>I9</f>
        <v>0</v>
      </c>
      <c r="I9" s="156">
        <f>IF(('Misc Data'!$B$11=4),Anal_Input_4, 0)</f>
        <v>0</v>
      </c>
      <c r="J9" s="39"/>
      <c r="K9" s="51"/>
      <c r="L9" s="52"/>
      <c r="M9" s="39"/>
      <c r="N9" s="391" t="s">
        <v>2815</v>
      </c>
      <c r="O9" s="52">
        <f>O7-L5</f>
        <v>28.120530461499513</v>
      </c>
      <c r="Q9" s="31" t="s">
        <v>366</v>
      </c>
      <c r="R9" s="31">
        <f>IF(Axis_Count=1,0,D9)</f>
        <v>275.70754676769411</v>
      </c>
    </row>
    <row r="10" spans="1:18" ht="14.1" customHeight="1" thickBot="1">
      <c r="B10" s="14" t="s">
        <v>1914</v>
      </c>
      <c r="C10" s="72">
        <f>VLOOKUP($C$3,Table1,9)</f>
        <v>141.1</v>
      </c>
      <c r="D10" s="68">
        <f>HLOOKUP($C$4,$E$4:$H$12,7)</f>
        <v>59.004718806871146</v>
      </c>
      <c r="E10" s="68">
        <f>'Payload Input'!$E$36</f>
        <v>59.004718806871146</v>
      </c>
      <c r="F10" s="68">
        <f>'Payload Input'!$E$36</f>
        <v>59.004718806871146</v>
      </c>
      <c r="G10" s="147">
        <f>IF(('Misc Data'!$B$11=3),Anal_Input_5, 0)</f>
        <v>0</v>
      </c>
      <c r="H10" s="155">
        <f>I10/H13</f>
        <v>0</v>
      </c>
      <c r="I10" s="156">
        <f>IF(('Misc Data'!$B$11=4),Anal_Input_5, 0)</f>
        <v>0</v>
      </c>
      <c r="J10" s="39"/>
      <c r="K10" s="51" t="s">
        <v>1599</v>
      </c>
      <c r="L10" s="392">
        <f>D11</f>
        <v>56.723640916736542</v>
      </c>
      <c r="M10" s="39"/>
      <c r="N10" s="453" t="s">
        <v>882</v>
      </c>
      <c r="O10" s="54">
        <f>IF(O9&lt;=90,IF(90&lt;=O8,90,O8),O9)</f>
        <v>28.120530461499513</v>
      </c>
      <c r="Q10" s="31" t="s">
        <v>1914</v>
      </c>
      <c r="R10" s="31">
        <f>IF(Axis_Type&lt;&gt;2,D10,IF(Wrist_Down_Fix=1,L10,D11))</f>
        <v>59.004718806871146</v>
      </c>
    </row>
    <row r="11" spans="1:18" ht="14.1" customHeight="1">
      <c r="B11" s="14" t="s">
        <v>1915</v>
      </c>
      <c r="C11" s="72">
        <f>VLOOKUP($C$3,Table1,10)</f>
        <v>141.1</v>
      </c>
      <c r="D11" s="68">
        <f>HLOOKUP($C$4,$E$4:$H$12,8)</f>
        <v>56.723640916736542</v>
      </c>
      <c r="E11" s="68">
        <f>'Payload Input'!$E$37</f>
        <v>56.723640916736542</v>
      </c>
      <c r="F11" s="68">
        <f>'Payload Input'!$E$37</f>
        <v>56.723640916736542</v>
      </c>
      <c r="G11" s="147">
        <f>IF(('Misc Data'!$B$11=3),Anal_Input_6, 0)</f>
        <v>0</v>
      </c>
      <c r="H11" s="155">
        <f>I11/H13</f>
        <v>0</v>
      </c>
      <c r="I11" s="156">
        <f>IF(('Misc Data'!$B$11=4),Anal_Input_6, 0)</f>
        <v>0</v>
      </c>
      <c r="J11" s="39"/>
      <c r="K11" s="51" t="s">
        <v>1060</v>
      </c>
      <c r="L11" s="392">
        <f>D12</f>
        <v>46.749441266519874</v>
      </c>
      <c r="M11" s="39"/>
      <c r="N11" s="151"/>
      <c r="Q11" s="31" t="s">
        <v>1915</v>
      </c>
      <c r="R11" s="31">
        <f>IF(Axis_Type&lt;&gt;2,D11,IF(Wrist_Down_Fix=1,L11,D12))</f>
        <v>56.723640916736542</v>
      </c>
    </row>
    <row r="12" spans="1:18" s="19" customFormat="1" ht="14.1" customHeight="1" thickBot="1">
      <c r="A12" s="5"/>
      <c r="B12" s="16" t="s">
        <v>554</v>
      </c>
      <c r="C12" s="73">
        <f>VLOOKUP($C$3,Table1,11)</f>
        <v>78.400000000000006</v>
      </c>
      <c r="D12" s="88">
        <f>HLOOKUP($C$4,$E$4:$H$12,9)</f>
        <v>46.749441266519874</v>
      </c>
      <c r="E12" s="69">
        <f>'Payload Input'!$E$38</f>
        <v>46.749441266519874</v>
      </c>
      <c r="F12" s="69">
        <f>'Payload Input'!$E$38</f>
        <v>46.749441266519874</v>
      </c>
      <c r="G12" s="148">
        <f>IF(('Misc Data'!$B$11=3),Anal_Input_7, 0)</f>
        <v>0</v>
      </c>
      <c r="H12" s="157">
        <f>I12/H13</f>
        <v>0</v>
      </c>
      <c r="I12" s="158">
        <f>IF(('Misc Data'!$B$11=4),Anal_Input_7, 0)</f>
        <v>0</v>
      </c>
      <c r="J12" s="32"/>
      <c r="K12" s="53"/>
      <c r="L12" s="393"/>
      <c r="M12" s="5"/>
      <c r="N12" s="151"/>
      <c r="O12" s="5"/>
      <c r="P12" s="5"/>
      <c r="Q12" s="31" t="s">
        <v>554</v>
      </c>
      <c r="R12" s="31">
        <f>IF(Axis_Count=1,0,D12)</f>
        <v>46.749441266519874</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62.1</v>
      </c>
      <c r="F20" s="39"/>
      <c r="I20" s="151"/>
      <c r="J20" s="39"/>
      <c r="K20" s="35"/>
      <c r="L20" s="400"/>
      <c r="M20" s="39"/>
      <c r="O20" s="400"/>
      <c r="Q20" s="31" t="s">
        <v>310</v>
      </c>
      <c r="R20" s="387">
        <f>D20</f>
        <v>62.1</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47</v>
      </c>
      <c r="E22" s="341">
        <f>TRUNC(D8/$C$7*100,0)</f>
        <v>47</v>
      </c>
      <c r="F22" s="341">
        <f>TRUNC(L7/$C$7*100,0)</f>
        <v>22</v>
      </c>
      <c r="G22" s="39"/>
      <c r="H22" s="39"/>
      <c r="I22" s="458" t="s">
        <v>493</v>
      </c>
      <c r="J22" s="39"/>
      <c r="K22" s="39"/>
      <c r="L22" s="455"/>
      <c r="M22" s="39"/>
      <c r="N22" s="337"/>
      <c r="O22" s="400"/>
      <c r="P22" s="39"/>
      <c r="Q22" s="55" t="s">
        <v>490</v>
      </c>
      <c r="R22" s="397">
        <f>IF(OR(Anal_Robot_Code=10111,Anal_Robot_Code=10214,Anal_Robot_Code=10215),I22,IF(Axis_Type&lt;&gt;2,D22,IF(Wrist_Down_Fix=1,F22,E22)))</f>
        <v>47</v>
      </c>
    </row>
    <row r="23" spans="1:18" s="4" customFormat="1" ht="14.1" customHeight="1">
      <c r="A23" s="5"/>
      <c r="B23" s="14" t="s">
        <v>491</v>
      </c>
      <c r="C23" s="65"/>
      <c r="D23" s="340">
        <f>IF(Wrist_Down_Fix=1,IF(C8&lt;D8,101,0),TRUNC(D8/$C$8*100,0))</f>
        <v>47</v>
      </c>
      <c r="E23" s="341">
        <f>TRUNC(D9/$C$8*100,0)</f>
        <v>22</v>
      </c>
      <c r="F23" s="341">
        <v>0</v>
      </c>
      <c r="G23" s="458" t="str">
        <f>IF(D23=0,"-","∞")</f>
        <v>∞</v>
      </c>
      <c r="H23" s="39"/>
      <c r="I23" s="39"/>
      <c r="J23" s="39"/>
      <c r="K23" s="39"/>
      <c r="L23" s="455"/>
      <c r="M23" s="39"/>
      <c r="N23" s="39"/>
      <c r="O23" s="400"/>
      <c r="P23" s="39"/>
      <c r="Q23" s="56" t="s">
        <v>491</v>
      </c>
      <c r="R23" s="459">
        <f>IF(Axis_Type&lt;&gt;2,IF(Wrist_Down_Fix=1,G23,D23),IF(Wrist_Down_Fix=1,F23,E23))</f>
        <v>47</v>
      </c>
    </row>
    <row r="24" spans="1:18" ht="14.1" customHeight="1" thickBot="1">
      <c r="B24" s="16" t="s">
        <v>492</v>
      </c>
      <c r="C24" s="66"/>
      <c r="D24" s="323">
        <f>TRUNC(D9/$C$9*100,0)</f>
        <v>39</v>
      </c>
      <c r="F24" s="39"/>
      <c r="G24" s="39"/>
      <c r="H24" s="39"/>
      <c r="I24" s="39"/>
      <c r="J24" s="39"/>
      <c r="K24" s="39"/>
      <c r="L24" s="455"/>
      <c r="M24" s="39"/>
      <c r="N24" s="414"/>
      <c r="O24" s="400"/>
      <c r="P24" s="39"/>
      <c r="Q24" s="48" t="s">
        <v>492</v>
      </c>
      <c r="R24" s="397">
        <f>IF(Axis_Count=1,0,D24)</f>
        <v>39</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41.9</v>
      </c>
      <c r="E26" s="341">
        <f>ROUNDUP(D11/$C10*100,1)</f>
        <v>40.300000000000004</v>
      </c>
      <c r="F26" s="341">
        <f>ROUNDUP(L10/$C$10*100,1)</f>
        <v>40.300000000000004</v>
      </c>
      <c r="G26" s="39"/>
      <c r="H26" s="39"/>
      <c r="I26" s="39"/>
      <c r="J26" s="39"/>
      <c r="K26" s="39"/>
      <c r="L26" s="455"/>
      <c r="M26" s="39"/>
      <c r="N26" s="39"/>
      <c r="O26" s="400"/>
      <c r="P26" s="39"/>
      <c r="Q26" s="55" t="s">
        <v>490</v>
      </c>
      <c r="R26" s="397">
        <f>IF(Axis_Type&lt;&gt;2,D26,IF(Wrist_Down_Fix=1,F26,E26))</f>
        <v>41.9</v>
      </c>
    </row>
    <row r="27" spans="1:18" ht="14.1" customHeight="1">
      <c r="B27" s="14" t="s">
        <v>491</v>
      </c>
      <c r="C27" s="65">
        <f>ROUND(C11/$G74*100,)</f>
        <v>100</v>
      </c>
      <c r="D27" s="340">
        <f>ROUNDUP(D11/$C11*100,1)</f>
        <v>40.300000000000004</v>
      </c>
      <c r="E27" s="341">
        <f>ROUNDUP(D12/$C11*100,1)</f>
        <v>33.200000000000003</v>
      </c>
      <c r="F27" s="341">
        <f>ROUNDUP(L11/$C11*100,1)</f>
        <v>33.200000000000003</v>
      </c>
      <c r="G27" s="39"/>
      <c r="H27" s="39"/>
      <c r="I27" s="39"/>
      <c r="J27" s="39"/>
      <c r="K27" s="39"/>
      <c r="L27" s="455"/>
      <c r="M27" s="39"/>
      <c r="N27" s="39"/>
      <c r="O27" s="400"/>
      <c r="P27" s="39"/>
      <c r="Q27" s="56" t="s">
        <v>491</v>
      </c>
      <c r="R27" s="397">
        <f>IF(Axis_Type&lt;&gt;2,D27,IF(Wrist_Down_Fix=1,F27,E27))</f>
        <v>40.300000000000004</v>
      </c>
    </row>
    <row r="28" spans="1:18" s="19" customFormat="1" ht="14.1" customHeight="1" thickBot="1">
      <c r="A28" s="5"/>
      <c r="B28" s="16" t="s">
        <v>492</v>
      </c>
      <c r="C28" s="66">
        <f>ROUND(C12/$G75*100,)</f>
        <v>100</v>
      </c>
      <c r="D28" s="323">
        <f>ROUNDUP(D12/$C12*100,1)</f>
        <v>59.7</v>
      </c>
      <c r="E28" s="5"/>
      <c r="F28" s="39"/>
      <c r="G28" s="5"/>
      <c r="H28" s="5"/>
      <c r="I28" s="5"/>
      <c r="J28" s="39"/>
      <c r="K28" s="39"/>
      <c r="L28" s="455"/>
      <c r="M28" s="39"/>
      <c r="N28" s="5"/>
      <c r="O28" s="5"/>
      <c r="P28" s="5"/>
      <c r="Q28" s="48" t="s">
        <v>492</v>
      </c>
      <c r="R28" s="398">
        <f>IF(Axis_Count=1,0,D28)</f>
        <v>59.7</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832.07082025851787</v>
      </c>
      <c r="E65" s="362">
        <f>D8+(D11*$D$73)</f>
        <v>822.51766605463411</v>
      </c>
      <c r="F65" s="135"/>
      <c r="G65" s="135"/>
      <c r="J65" s="39"/>
      <c r="K65" s="400"/>
      <c r="L65" s="135"/>
      <c r="M65" s="135"/>
      <c r="N65" s="39"/>
    </row>
    <row r="66" spans="1:18" s="4" customFormat="1" ht="14.1" customHeight="1">
      <c r="A66" s="5"/>
      <c r="B66" s="37" t="s">
        <v>491</v>
      </c>
      <c r="C66" s="38">
        <f xml:space="preserve"> C8+(C11*$D$74)</f>
        <v>1717.4390000000001</v>
      </c>
      <c r="D66" s="38">
        <f xml:space="preserve"> D8+(D11*$D$74)</f>
        <v>782.92456469475201</v>
      </c>
      <c r="E66" s="362">
        <f xml:space="preserve"> D9+(D12*$D$74)</f>
        <v>438.86309678784846</v>
      </c>
      <c r="F66" s="135"/>
      <c r="G66" s="135"/>
      <c r="H66" s="5"/>
      <c r="I66" s="5"/>
      <c r="J66" s="39"/>
      <c r="K66" s="400"/>
      <c r="L66" s="135"/>
      <c r="M66" s="135"/>
      <c r="N66" s="39"/>
      <c r="O66" s="5"/>
      <c r="P66" s="5"/>
      <c r="Q66" s="5"/>
      <c r="R66" s="5"/>
    </row>
    <row r="67" spans="1:18" ht="14.1" customHeight="1">
      <c r="B67" s="37" t="s">
        <v>492</v>
      </c>
      <c r="C67" s="38">
        <f>C9+(C12*$D$75)</f>
        <v>922.38400000000001</v>
      </c>
      <c r="D67" s="38">
        <f>D9+(D12*$D$75)</f>
        <v>404.73600466328895</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116.5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22.120999999999999</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9.6869999999999994</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21.687999999999999</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112.407</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274.84800000000001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407.71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62.1</v>
      </c>
      <c r="D9" s="3">
        <v>0</v>
      </c>
      <c r="E9" s="3">
        <f>IF(H9&gt;$F$8, $F$8-$E$8, IF(H9&gt;$E$8, H9-$E$8, 0))</f>
        <v>0</v>
      </c>
      <c r="F9" s="3">
        <f>IF(H9&gt;$F$8, H9-$F$8, 0)</f>
        <v>0</v>
      </c>
      <c r="H9" s="3">
        <f>'Wrist Load Analysis'!R20</f>
        <v>62.1</v>
      </c>
    </row>
    <row r="11" spans="1:8">
      <c r="A11" s="3" t="s">
        <v>348</v>
      </c>
      <c r="B11" s="3" t="s">
        <v>2344</v>
      </c>
      <c r="C11" s="3">
        <f>IF(H11&gt;$E$8, $E$8, H11)</f>
        <v>47</v>
      </c>
      <c r="D11" s="3">
        <v>0</v>
      </c>
      <c r="E11" s="3">
        <f>IF(H11&gt;$F$8, $F$8-$E$8, IF(H11&gt;$E$8, H11-$E$8, 0))</f>
        <v>0</v>
      </c>
      <c r="F11" s="3">
        <f>IF(H11&gt;$F$8, H11-$F$8, 0)</f>
        <v>0</v>
      </c>
      <c r="H11" s="3">
        <f>IF(Anal_Robot_Code=10111,0,'Wrist Load Analysis'!R22)</f>
        <v>47</v>
      </c>
    </row>
    <row r="12" spans="1:8">
      <c r="B12" s="3" t="s">
        <v>1618</v>
      </c>
      <c r="C12" s="3">
        <f>IF(H12&gt;$E$8, $E$8, H12)</f>
        <v>47</v>
      </c>
      <c r="D12" s="3">
        <v>0</v>
      </c>
      <c r="E12" s="3">
        <f>IF(H12&gt;$F$8, $F$8-$E$8, IF(H12&gt;$E$8, H12-$E$8, 0))</f>
        <v>0</v>
      </c>
      <c r="F12" s="3">
        <f>IF(H12&gt;$F$8, H12-$F$8, 0)</f>
        <v>0</v>
      </c>
      <c r="H12" s="3">
        <f>'Wrist Load Analysis'!R23</f>
        <v>47</v>
      </c>
    </row>
    <row r="13" spans="1:8">
      <c r="B13" s="3" t="str">
        <f>IF(Axis_Count=1,"","J6")</f>
        <v>J6</v>
      </c>
      <c r="C13" s="3">
        <f>IF(H13&gt;$E$8, $E$8, H13)</f>
        <v>39</v>
      </c>
      <c r="D13" s="3">
        <v>0</v>
      </c>
      <c r="E13" s="3">
        <f>IF(H13&gt;$F$8, $F$8-$E$8, IF(H13&gt;$E$8, H13-$E$8, 0))</f>
        <v>0</v>
      </c>
      <c r="F13" s="3">
        <f>IF(H13&gt;$F$8, H13-$F$8, 0)</f>
        <v>0</v>
      </c>
      <c r="H13" s="3">
        <f>'Wrist Load Analysis'!R24</f>
        <v>39</v>
      </c>
    </row>
    <row r="15" spans="1:8">
      <c r="A15" s="3" t="s">
        <v>488</v>
      </c>
      <c r="B15" s="3" t="s">
        <v>2344</v>
      </c>
      <c r="C15" s="3">
        <f>IF(H15&gt;E8, E8, H15)</f>
        <v>41.9</v>
      </c>
      <c r="D15" s="3">
        <v>0</v>
      </c>
      <c r="E15" s="3">
        <f>IF(H15&gt;$F$8, $F$8-$E$8, IF(H15&gt;$E$8, H15-$E$8, 0))</f>
        <v>0</v>
      </c>
      <c r="F15" s="3">
        <f>IF(H15&gt;$F$8, H15-$F$8, 0)</f>
        <v>0</v>
      </c>
      <c r="H15" s="3">
        <f>'Wrist Load Analysis'!R26</f>
        <v>41.9</v>
      </c>
    </row>
    <row r="16" spans="1:8">
      <c r="B16" s="3" t="s">
        <v>1618</v>
      </c>
      <c r="C16" s="3">
        <f>IF(H16&gt;E8, E8, H16)</f>
        <v>40.300000000000004</v>
      </c>
      <c r="D16" s="3">
        <v>0</v>
      </c>
      <c r="E16" s="3">
        <f>IF(H16&gt;$F$8, $F$8-$E$8, IF(H16&gt;$E$8, H16-$E$8, 0))</f>
        <v>0</v>
      </c>
      <c r="F16" s="3">
        <f>IF(H16&gt;$F$8, H16-$F$8, 0)</f>
        <v>0</v>
      </c>
      <c r="H16" s="3">
        <f>'Wrist Load Analysis'!R27</f>
        <v>40.300000000000004</v>
      </c>
    </row>
    <row r="17" spans="1:16">
      <c r="B17" s="3" t="str">
        <f>IF(Axis_Count=1,"","J6")</f>
        <v>J6</v>
      </c>
      <c r="C17" s="3">
        <f>IF(H17&gt;E8, E8, H17)</f>
        <v>59.7</v>
      </c>
      <c r="D17" s="3">
        <v>0</v>
      </c>
      <c r="E17" s="3">
        <f>IF(H17&gt;$F$8, $F$8-$E$8, IF(H17&gt;$E$8, H17-$E$8, 0))</f>
        <v>0</v>
      </c>
      <c r="F17" s="3">
        <f>IF(H17&gt;$F$8, H17-$F$8, 0)</f>
        <v>0</v>
      </c>
      <c r="H17" s="3">
        <f>'Wrist Load Analysis'!R28</f>
        <v>59.7</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584.95905789534152</v>
      </c>
      <c r="G25" s="209">
        <f>'Wrist Load Analysis'!R10</f>
        <v>59.004718806871146</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584.95905789534152</v>
      </c>
      <c r="G29" s="209">
        <f>'Wrist Load Analysis'!R11</f>
        <v>56.723640916736542</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275.70754676769411</v>
      </c>
      <c r="G33" s="209">
        <f>'Wrist Load Analysis'!R12</f>
        <v>46.749441266519874</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2016-12-06T19:29:10Z</cp:lastPrinted>
  <dcterms:created xsi:type="dcterms:W3CDTF">1999-12-01T08:04:04Z</dcterms:created>
  <dcterms:modified xsi:type="dcterms:W3CDTF">2016-12-07T00:32:21Z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