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F25" i="60"/>
  <c r="D23" i="30"/>
  <c r="L56" i="37"/>
  <c r="D53" i="39"/>
  <c r="D35" i="39"/>
  <c r="R22" i="39"/>
  <c r="H28" i="30"/>
  <c r="H17" i="60"/>
  <c r="G56" i="37"/>
  <c r="H56" i="37"/>
  <c r="I56" i="37"/>
  <c r="K56" i="37"/>
  <c r="F58" i="39"/>
  <c r="F40" i="39"/>
  <c r="I61" i="39" l="1"/>
  <c r="D14" i="39"/>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l="1"/>
  <c r="O67" i="37" s="1"/>
  <c r="Q67" i="37" s="1"/>
  <c r="P67" i="37" l="1"/>
  <c r="T67" i="37" s="1"/>
  <c r="Y67" i="37" s="1"/>
  <c r="V67" i="37"/>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l="1"/>
  <c r="X69" i="37" s="1"/>
  <c r="V69" i="37"/>
  <c r="T69" i="37"/>
  <c r="Y69" i="37" s="1"/>
  <c r="U69" i="37"/>
  <c r="W69" i="37"/>
  <c r="AA69" i="37" l="1"/>
  <c r="Z69" i="37"/>
  <c r="AB69" i="37" l="1"/>
  <c r="O70" i="37" s="1"/>
  <c r="P70" i="37" s="1"/>
  <c r="N63" i="37"/>
  <c r="B89" i="37" s="1"/>
  <c r="E89" i="37" s="1"/>
  <c r="Q70" i="37"/>
  <c r="V70" i="37" s="1"/>
  <c r="F89" i="37" l="1"/>
  <c r="K36" i="37"/>
  <c r="D89" i="37"/>
  <c r="L89" i="37" s="1"/>
  <c r="C89" i="37"/>
  <c r="H89" i="37" s="1"/>
  <c r="S70" i="37"/>
  <c r="X70" i="37" s="1"/>
  <c r="U70" i="37"/>
  <c r="W70" i="37"/>
  <c r="T70" i="37"/>
  <c r="Y70" i="37" s="1"/>
  <c r="R70" i="37"/>
  <c r="K89" i="37" l="1"/>
  <c r="I89" i="37"/>
  <c r="G89" i="37"/>
  <c r="J89" i="37" s="1"/>
  <c r="I36" i="37" s="1"/>
  <c r="E36" i="37" s="1"/>
  <c r="Z70" i="37"/>
  <c r="AA70" i="37"/>
  <c r="N89" i="37" l="1"/>
  <c r="J36" i="37" s="1"/>
  <c r="AB70" i="37"/>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<sst xmlns="http://schemas.openxmlformats.org/spreadsheetml/2006/main" count="6673" uniqueCount="4044">
  <si>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</si>
  <si>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</si>
  <si>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</si>
  <si>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</si>
  <si>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</si>
  <si>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</si>
  <si>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</si>
  <si>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</si>
  <si>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</si>
  <si>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</si>
  <si>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</si>
  <si>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</si>
  <si>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</si>
  <si>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</si>
  <si>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</si>
  <si>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</si>
  <si>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</si>
  <si>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</si>
  <si>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</si>
  <si>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</si>
  <si>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</si>
  <si>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</si>
  <si>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</si>
  <si>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</si>
  <si>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</si>
  <si>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</si>
  <si>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</si>
  <si>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</si>
  <si>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</si>
  <si>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</si>
  <si>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</si>
  <si>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</si>
  <si>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</si>
  <si>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</si>
  <si>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</si>
  <si>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</si>
  <si>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</si>
  <si>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</si>
  <si>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</si>
  <si>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</si>
  <si>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</si>
  <si>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</si>
  <si>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</si>
  <si>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</si>
  <si>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</si>
  <si>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</si>
  <si>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</si>
  <si>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</si>
  <si>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</si>
  <si>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</si>
  <si>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</si>
  <si>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</si>
  <si>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</si>
  <si>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</si>
  <si>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</si>
  <si>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</si>
  <si>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</si>
  <si>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</si>
  <si>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</si>
  <si>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</si>
  <si>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</si>
  <si>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</si>
  <si>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</si>
  <si>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</si>
  <si>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</si>
  <si>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</si>
  <si>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</si>
  <si>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</si>
  <si>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</si>
  <si>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</si>
  <si>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</si>
  <si>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</si>
  <si>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</si>
  <si>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</si>
  <si>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</si>
  <si>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</si>
  <si>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</si>
  <si>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</si>
  <si>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</si>
  <si>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</si>
  <si>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</si>
  <si>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</si>
  <si>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</si>
  <si>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</si>
  <si>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</si>
  <si>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</si>
  <si>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</si>
  <si>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</si>
  <si>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</si>
  <si>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</si>
  <si>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</si>
  <si>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</si>
  <si>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</si>
  <si>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</si>
  <si>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</si>
  <si>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</si>
  <si>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</si>
  <si>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</si>
  <si>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</si>
  <si>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</si>
  <si>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</si>
  <si>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</si>
  <si>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</si>
  <si>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</si>
  <si>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</si>
  <si>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</si>
  <si>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</si>
  <si>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</si>
  <si>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</si>
  <si>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</si>
  <si>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</si>
  <si>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</si>
  <si>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</si>
  <si>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</si>
  <si>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</si>
  <si>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</si>
  <si>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</si>
  <si>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</si>
  <si>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</si>
  <si>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</si>
  <si>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</si>
  <si>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</si>
  <si>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</si>
  <si>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</si>
  <si>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</si>
  <si>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</si>
  <si>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</si>
  <si>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</si>
  <si>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</si>
  <si>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</si>
  <si>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</si>
  <si>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</si>
  <si>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</si>
  <si>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</si>
  <si>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</si>
  <si>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</si>
  <si>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</si>
  <si>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</si>
  <si>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</si>
  <si>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</si>
  <si>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</si>
  <si>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</si>
  <si>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</si>
  <si>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</si>
  <si>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</si>
  <si>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</si>
  <si>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</si>
  <si>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</si>
  <si>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</si>
  <si>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</si>
  <si>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</si>
  <si>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</si>
  <si>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</si>
  <si>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</si>
  <si>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</si>
  <si>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</si>
  <si>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</si>
  <si>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</si>
  <si>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</si>
  <si>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</si>
  <si>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</si>
  <si>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</si>
  <si>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</si>
  <si>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</si>
  <si>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</si>
  <si>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</si>
  <si>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</si>
  <si>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</si>
  <si>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</si>
  <si>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</si>
  <si>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</si>
  <si>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</si>
  <si>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</si>
  <si>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</si>
  <si>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</si>
  <si>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</si>
  <si>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</si>
  <si>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</si>
  <si>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</si>
  <si>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</si>
  <si>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</si>
  <si>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</si>
  <si>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</si>
  <si>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</si>
  <si>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</si>
  <si>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</si>
  <si>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</si>
  <si>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</si>
  <si>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</si>
  <si>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</si>
  <si>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</si>
  <si>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</si>
  <si>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</si>
  <si>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</si>
  <si>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</si>
  <si>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</si>
  <si>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</si>
  <si>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</si>
  <si>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</si>
  <si>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</si>
  <si>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</si>
  <si>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</si>
  <si>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</si>
  <si>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</si>
  <si>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</si>
  <si>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</si>
  <si>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</si>
  <si>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</si>
  <si>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</si>
  <si>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</si>
  <si>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</si>
  <si>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</si>
  <si>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</si>
  <si>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</si>
  <si>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</si>
  <si>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</si>
  <si>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</si>
  <si>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</si>
  <si>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</si>
  <si>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</si>
  <si>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</si>
  <si>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</si>
  <si>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</si>
  <si>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</si>
  <si>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</si>
  <si>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</si>
  <si>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</si>
  <si>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</si>
  <si>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</si>
  <si>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</si>
  <si>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</si>
  <si>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</si>
  <si>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</si>
  <si>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</si>
  <si>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</si>
  <si>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</si>
  <si>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</si>
  <si>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</si>
  <si>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</si>
  <si>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</si>
  <si>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</si>
  <si>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</si>
  <si>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</si>
  <si>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</si>
  <si>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</si>
  <si>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</si>
  <si>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</si>
  <si>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</si>
  <si>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</si>
  <si>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</si>
  <si>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</si>
  <si>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</si>
  <si>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</si>
  <si>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</si>
  <si>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</si>
  <si>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</si>
  <si>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</si>
  <si>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</si>
  <si>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</si>
  <si>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</si>
  <si>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</si>
  <si>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</si>
  <si>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</si>
  <si>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</si>
  <si>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</si>
  <si>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</si>
  <si>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</si>
  <si>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</si>
  <si>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</si>
  <si>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</si>
  <si>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</si>
  <si>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</si>
  <si>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</si>
  <si>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</si>
  <si>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</si>
  <si>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</si>
  <si>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</si>
  <si>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</si>
  <si>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</si>
  <si>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</si>
  <si>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</si>
  <si>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</si>
  <si>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</si>
  <si>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</si>
  <si>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</si>
  <si>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</si>
  <si>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</si>
  <si>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</si>
  <si>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</si>
  <si>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</si>
  <si>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</si>
  <si>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</si>
  <si>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</si>
  <si>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</si>
  <si>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</si>
  <si>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</si>
  <si>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</si>
  <si>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</si>
  <si>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</si>
  <si>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</si>
  <si>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</si>
  <si>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</si>
  <si>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</si>
  <si>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</si>
  <si>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</si>
  <si>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</si>
  <si>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</si>
  <si>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</si>
  <si>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</si>
  <si>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</si>
  <si>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</si>
  <si>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</si>
  <si>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</si>
  <si>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</si>
  <si>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</si>
  <si>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</si>
  <si>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</si>
  <si>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</si>
  <si>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</si>
  <si>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</si>
  <si>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</si>
  <si>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</si>
  <si>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</si>
  <si>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</si>
  <si>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</si>
  <si>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</si>
  <si>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</si>
  <si>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</si>
  <si>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</si>
  <si>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</si>
  <si>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</si>
  <si>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</si>
  <si>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</si>
  <si>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</si>
  <si>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</si>
  <si>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</si>
  <si>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</si>
  <si>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</si>
  <si>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</si>
  <si>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</si>
  <si>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</si>
  <si>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</si>
  <si>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</si>
  <si>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</si>
  <si>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</si>
  <si>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</si>
  <si>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</si>
  <si>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</si>
  <si>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</si>
  <si>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</si>
  <si>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</si>
  <si>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</si>
  <si>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</si>
  <si>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</si>
  <si>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</si>
  <si>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</si>
  <si>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</si>
  <si>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</si>
  <si>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</si>
  <si>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</si>
  <si>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</si>
  <si>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</si>
  <si>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</si>
  <si>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</si>
  <si>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</si>
  <si>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</si>
  <si>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</si>
  <si>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</si>
  <si>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</si>
  <si>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</si>
  <si>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</si>
  <si>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</si>
  <si>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</si>
  <si>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</si>
  <si>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</si>
  <si>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</si>
  <si>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</si>
  <si>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</si>
  <si>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</si>
  <si>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</si>
  <si>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</si>
  <si>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</si>
  <si>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</si>
  <si>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</si>
  <si>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</si>
  <si>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</si>
  <si>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</si>
  <si>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</si>
  <si>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</si>
  <si>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</si>
  <si>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</si>
  <si>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</si>
  <si>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</si>
  <si>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</si>
  <si>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</si>
  <si>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</si>
  <si>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</si>
  <si>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</si>
  <si>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</si>
  <si>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</si>
  <si>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</si>
  <si>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</si>
  <si>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</si>
  <si>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</si>
  <si>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</si>
  <si>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</si>
  <si>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</si>
  <si>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</si>
  <si>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</si>
  <si>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</si>
  <si>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</si>
  <si>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</si>
  <si>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</si>
  <si>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</si>
  <si>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</si>
  <si>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</si>
  <si>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</si>
  <si>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</si>
  <si>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</si>
  <si>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</si>
  <si>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</si>
  <si>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</si>
  <si>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</si>
  <si>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</si>
  <si>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</si>
  <si>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</si>
  <si>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</si>
  <si>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</si>
  <si>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</si>
  <si>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</si>
  <si>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</si>
  <si>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</si>
  <si>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</si>
  <si>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</si>
  <si>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</si>
  <si>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</si>
  <si>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</si>
  <si>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</si>
  <si>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</si>
  <si>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</si>
  <si>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</si>
  <si>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</si>
  <si>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</si>
  <si>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</si>
  <si>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</si>
  <si>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</si>
  <si>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</si>
  <si>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</si>
  <si>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</si>
  <si>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</si>
  <si>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</si>
  <si>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</si>
  <si>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</si>
  <si>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</si>
  <si>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</si>
  <si>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</si>
  <si>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</si>
  <si>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</si>
  <si>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</si>
  <si>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</si>
  <si>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</si>
  <si>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</si>
  <si>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</si>
  <si>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</si>
  <si>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</si>
  <si>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</si>
  <si>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</si>
  <si>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</si>
  <si>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</si>
  <si>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</si>
  <si>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</si>
  <si>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</si>
  <si>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</si>
  <si>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</si>
  <si>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</si>
  <si>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</si>
  <si>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</si>
  <si>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</si>
  <si>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</si>
  <si>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</si>
  <si>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</si>
  <si>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</si>
  <si>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</si>
  <si>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</si>
  <si>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</si>
  <si>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</si>
  <si>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</si>
  <si>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</si>
  <si>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</si>
  <si>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</si>
  <si>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</si>
  <si>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</si>
  <si>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</si>
  <si>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</si>
  <si>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</si>
  <si>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</si>
  <si>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</si>
  <si>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</si>
  <si>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</si>
  <si>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</si>
  <si>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</si>
  <si>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</si>
  <si>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</si>
  <si>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</si>
  <si>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</si>
  <si>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</si>
  <si>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</si>
  <si>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</si>
  <si>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</si>
  <si>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</si>
  <si>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</si>
  <si>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</si>
  <si>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</si>
  <si>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</si>
  <si>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</si>
  <si>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</si>
  <si>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</si>
  <si>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</si>
  <si>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</si>
  <si>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</si>
  <si>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</si>
  <si>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</si>
  <si>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</si>
  <si>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</si>
  <si>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</si>
  <si>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</si>
  <si>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</si>
  <si>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</si>
  <si>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</si>
  <si>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</si>
  <si>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</si>
  <si>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</si>
  <si>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</si>
  <si>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</si>
  <si>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</si>
  <si>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</si>
  <si>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</si>
  <si>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</si>
  <si>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</si>
  <si>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</si>
  <si>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</si>
  <si>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</si>
  <si>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</si>
  <si>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</si>
  <si>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</si>
  <si>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</si>
  <si>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</si>
  <si>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</si>
  <si>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</si>
  <si>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</si>
  <si>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</si>
  <si>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</si>
  <si>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</si>
  <si>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</si>
  <si>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</si>
  <si>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</si>
  <si>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</si>
  <si>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</si>
  <si>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</si>
  <si>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</si>
  <si>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</si>
  <si>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</si>
  <si>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</si>
  <si>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</si>
  <si>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</si>
  <si>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</si>
  <si>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</si>
  <si>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</si>
  <si>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</si>
  <si>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</si>
  <si>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</si>
  <si>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</si>
  <si>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</si>
  <si>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</si>
  <si>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</si>
  <si>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</si>
  <si>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</si>
  <si>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</si>
  <si>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</si>
  <si>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</si>
  <si>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</si>
  <si>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</si>
  <si>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</si>
  <si>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</si>
  <si>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</si>
  <si>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</si>
  <si>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</si>
  <si>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</si>
  <si>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</si>
  <si>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</si>
  <si>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</si>
  <si>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</si>
  <si>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</si>
  <si>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</si>
  <si>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</si>
  <si>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</si>
  <si>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</si>
  <si>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</si>
  <si>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</si>
  <si>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</si>
  <si>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</si>
  <si>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</si>
  <si>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</si>
  <si>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</si>
  <si>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</si>
  <si>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</si>
  <si>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</si>
  <si>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</si>
  <si>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</si>
  <si>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</si>
  <si>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</si>
  <si>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</si>
  <si>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</si>
  <si>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</si>
  <si>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</si>
  <si>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</si>
  <si>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</si>
  <si>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</si>
  <si>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</si>
  <si>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</si>
  <si>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</si>
  <si>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</si>
  <si>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</si>
  <si>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</si>
  <si>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</si>
  <si>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</si>
  <si>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</si>
  <si>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</si>
  <si>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</si>
  <si>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</si>
  <si>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</si>
  <si>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</si>
  <si>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</si>
  <si>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</si>
  <si>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</si>
  <si>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</si>
  <si>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</si>
  <si>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</si>
  <si>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</si>
  <si>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</si>
  <si>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</si>
  <si>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</si>
  <si>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</si>
  <si>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</si>
  <si>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</si>
  <si>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</si>
  <si>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</si>
  <si>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</si>
  <si>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</si>
  <si>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</si>
  <si>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</si>
  <si>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</si>
  <si>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</si>
  <si>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</si>
  <si>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</si>
  <si>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</si>
  <si>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</si>
  <si>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</si>
  <si>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</si>
  <si>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</si>
  <si>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</si>
  <si>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</si>
  <si>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</si>
  <si>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</si>
  <si>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</si>
  <si>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</si>
  <si>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</si>
  <si>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</si>
  <si>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</si>
  <si>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</si>
  <si>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</si>
  <si>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</si>
  <si>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</si>
  <si>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</si>
  <si>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</si>
  <si>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</si>
  <si>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</si>
  <si>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</si>
  <si>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</si>
  <si>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</si>
  <si>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</si>
  <si>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</si>
  <si>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</si>
  <si>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</si>
  <si>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</si>
  <si>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</si>
  <si>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</si>
  <si>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</si>
  <si>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</si>
  <si>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</si>
  <si>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</si>
  <si>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</si>
  <si>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</si>
  <si>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</si>
  <si>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</si>
  <si>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</si>
  <si>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</si>
  <si>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</si>
  <si>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</si>
  <si>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</si>
  <si>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</si>
  <si>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</si>
  <si>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</si>
  <si>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</si>
  <si>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</si>
  <si>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</si>
  <si>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</si>
  <si>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</si>
  <si>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</si>
  <si>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</si>
  <si>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</si>
  <si>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</si>
  <si>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</si>
  <si>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</si>
  <si>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</si>
  <si>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</si>
  <si>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</si>
  <si>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</si>
  <si>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</si>
  <si>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</si>
  <si>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</si>
  <si>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</si>
  <si>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</si>
  <si>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</si>
  <si>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</si>
  <si>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</si>
  <si>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</si>
  <si>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</si>
  <si>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</si>
  <si>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</si>
  <si>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</si>
  <si>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</si>
  <si>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</si>
  <si>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</si>
  <si>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</si>
  <si>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</si>
  <si>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</si>
  <si>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</si>
  <si>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</si>
  <si>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</si>
  <si>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</si>
  <si>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</si>
  <si>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</si>
  <si>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</si>
  <si>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</si>
  <si>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</si>
  <si>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</si>
  <si>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</si>
  <si>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</si>
  <si>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</si>
  <si>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</si>
  <si>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</si>
  <si>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</si>
  <si>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</si>
  <si>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</si>
  <si>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</si>
  <si>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</si>
  <si>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</si>
  <si>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</si>
  <si>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</si>
  <si>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</si>
  <si>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</si>
  <si>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</si>
  <si>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</si>
  <si>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</si>
  <si>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</si>
  <si>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</si>
  <si>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</si>
  <si>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</si>
  <si>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</si>
  <si>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</si>
  <si>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</si>
  <si>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</si>
  <si>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</si>
  <si>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</si>
  <si>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</si>
  <si>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</si>
  <si>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</si>
  <si>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</si>
  <si>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</si>
  <si>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</si>
  <si>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</si>
  <si>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</si>
  <si>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</si>
  <si>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</si>
  <si>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</si>
  <si>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</si>
  <si>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</si>
  <si>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</si>
  <si>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</si>
  <si>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</si>
  <si>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</si>
  <si>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</si>
  <si>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</si>
  <si>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</si>
  <si>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</si>
  <si>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</si>
  <si>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</si>
  <si>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</si>
  <si>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</si>
  <si>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</si>
  <si>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</si>
  <si>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</si>
  <si>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</si>
  <si>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</si>
  <si>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</si>
  <si>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</si>
  <si>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</si>
  <si>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</si>
  <si>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</si>
  <si>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</si>
  <si>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</si>
  <si>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</si>
  <si>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</si>
  <si>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</si>
  <si>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</si>
  <si>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</si>
  <si>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</si>
  <si>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</si>
  <si>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</si>
  <si>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</si>
  <si>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</si>
  <si>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</si>
  <si>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</si>
  <si>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</si>
  <si>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</si>
  <si>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</si>
  <si>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</si>
  <si>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</si>
  <si>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</si>
  <si>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</si>
  <si>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</si>
  <si>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</si>
  <si>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</si>
  <si>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</si>
  <si>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</si>
  <si>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</si>
  <si>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</si>
  <si>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</si>
  <si>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</si>
  <si>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</si>
  <si>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</si>
  <si>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</si>
  <si>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</si>
  <si>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</si>
  <si>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</si>
  <si>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</si>
  <si>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</si>
  <si>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</si>
  <si>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</si>
  <si>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</si>
  <si>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</si>
  <si>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</si>
  <si>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</si>
  <si>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</si>
  <si>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</si>
  <si>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</si>
  <si>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</si>
  <si>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</si>
  <si>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</si>
  <si>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</si>
  <si>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</si>
  <si>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</si>
  <si>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</si>
  <si>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</si>
  <si>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</si>
  <si>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</si>
  <si>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</si>
  <si>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</si>
  <si>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</si>
  <si>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</si>
  <si>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</si>
  <si>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</si>
  <si>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</si>
  <si>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</si>
  <si>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</si>
  <si>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</si>
  <si>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</si>
  <si>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</si>
  <si>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</si>
  <si>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</si>
  <si>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</si>
  <si>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</si>
  <si>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</si>
  <si>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</si>
  <si>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</si>
  <si>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</si>
  <si>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</si>
  <si>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</si>
  <si>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</si>
  <si>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</si>
  <si>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</si>
  <si>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</si>
  <si>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</si>
  <si>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</si>
  <si>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</si>
  <si>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</si>
  <si>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</si>
  <si>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</si>
  <si>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</si>
  <si>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</si>
  <si>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</si>
  <si>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</si>
  <si>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</si>
  <si>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</si>
  <si>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</si>
  <si>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</si>
  <si>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</si>
  <si>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</si>
  <si>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</si>
  <si>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</si>
  <si>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</si>
  <si>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</si>
  <si>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</si>
  <si>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</si>
  <si>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</si>
  <si>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</si>
  <si>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</si>
  <si>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</si>
  <si>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</si>
  <si>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</si>
  <si>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</si>
  <si>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</si>
  <si>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</si>
  <si>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</si>
  <si>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</si>
  <si>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</si>
  <si>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</si>
  <si>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</si>
  <si>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</si>
  <si>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</si>
  <si>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</si>
  <si>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</si>
  <si>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</si>
  <si>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</si>
  <si>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</si>
  <si>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</si>
  <si>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</si>
  <si>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</si>
  <si>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</si>
  <si>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</si>
  <si>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</si>
  <si>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</si>
  <si>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</si>
  <si>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</si>
  <si>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</si>
  <si>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</si>
  <si>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</si>
  <si>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</si>
  <si>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</si>
  <si>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</si>
  <si>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</si>
  <si>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</si>
  <si>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</si>
  <si>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</si>
  <si>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</si>
  <si>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</si>
  <si>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</si>
  <si>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</si>
  <si>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</si>
  <si>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</si>
  <si>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</si>
  <si>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</si>
  <si>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</si>
  <si>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</si>
  <si>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</si>
  <si>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</si>
  <si>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</si>
  <si>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</si>
  <si>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</si>
  <si>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</si>
  <si>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</si>
  <si>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</si>
  <si>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</si>
  <si>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</si>
  <si>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</si>
  <si>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</si>
  <si>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</si>
  <si>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</si>
  <si>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</si>
  <si>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</si>
  <si>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</si>
  <si>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</si>
  <si>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</si>
  <si>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</si>
  <si>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</si>
  <si>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</si>
  <si>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</si>
  <si>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</si>
  <si>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</si>
  <si>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</si>
  <si>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</si>
  <si>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</si>
  <si>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</si>
  <si>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</si>
  <si>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</si>
  <si>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</si>
  <si>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</si>
  <si>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</si>
  <si>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</si>
  <si>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</si>
  <si>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</si>
  <si>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</si>
  <si>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</si>
  <si>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</si>
  <si>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</si>
  <si>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</si>
  <si>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</si>
  <si>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</si>
  <si>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</si>
  <si>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</si>
  <si>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</si>
  <si>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</si>
  <si>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</si>
  <si>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</si>
  <si>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</si>
  <si>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</si>
  <si>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</si>
  <si>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</si>
  <si>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</si>
  <si>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</si>
  <si>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</si>
  <si>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</si>
  <si>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</si>
  <si>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</si>
  <si>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</si>
  <si>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</si>
  <si>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</si>
  <si>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</si>
  <si>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</si>
  <si>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</si>
  <si>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</si>
  <si>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</si>
  <si>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</si>
  <si>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</si>
  <si>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</si>
  <si>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</si>
  <si>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</si>
  <si>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</si>
  <si>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</si>
  <si>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</si>
  <si>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</si>
  <si>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</si>
  <si>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</si>
  <si>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</si>
  <si>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</si>
  <si>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</si>
  <si>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</si>
  <si>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</si>
  <si>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</si>
  <si>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</si>
  <si>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</si>
  <si>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</si>
  <si>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</si>
  <si>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</si>
  <si>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</si>
  <si>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</si>
  <si>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</si>
  <si>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</si>
  <si>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</si>
  <si>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</si>
  <si>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</si>
  <si>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</si>
  <si>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</si>
  <si>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</si>
  <si>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</si>
  <si>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</si>
  <si>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</si>
  <si>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</si>
  <si>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</si>
  <si>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</si>
  <si>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</si>
  <si>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</si>
  <si>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</si>
  <si>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</si>
  <si>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</si>
  <si>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</si>
  <si>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</si>
  <si>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</si>
  <si>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</si>
  <si>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</si>
  <si>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</si>
  <si>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</si>
  <si>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</si>
  <si>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</si>
  <si>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</si>
  <si>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</si>
  <si>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</si>
  <si>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</si>
  <si>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</si>
  <si>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</si>
  <si>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</si>
  <si>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</si>
  <si>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</si>
  <si>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</si>
  <si>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</si>
  <si>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</si>
  <si>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</si>
  <si>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</si>
  <si>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</si>
  <si>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</si>
  <si>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</si>
  <si>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</si>
  <si>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</si>
  <si>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</si>
  <si>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</si>
  <si>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</si>
  <si>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</si>
  <si>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</si>
  <si>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</si>
  <si>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</si>
  <si>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</si>
  <si>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</si>
  <si>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</si>
  <si>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</si>
  <si>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</si>
  <si>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</si>
  <si>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</si>
  <si>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</si>
  <si>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</si>
  <si>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</si>
  <si>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</si>
  <si>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</si>
  <si>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</si>
  <si>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</si>
  <si>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</si>
  <si>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</si>
  <si>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</si>
  <si>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</si>
  <si>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</si>
  <si>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</si>
  <si>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</si>
  <si>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</si>
  <si>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</si>
  <si>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</si>
  <si>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</si>
  <si>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</si>
  <si>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</si>
  <si>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</si>
  <si>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</si>
  <si>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</si>
  <si>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</si>
  <si>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</si>
  <si>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</si>
  <si>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</si>
  <si>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</si>
  <si>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</si>
  <si>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</si>
  <si>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</si>
  <si>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</si>
  <si>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</si>
  <si>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</si>
  <si>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</si>
  <si>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</si>
  <si>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</si>
  <si>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</si>
  <si>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</si>
  <si>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</si>
  <si>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</si>
  <si>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</si>
  <si>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</si>
  <si>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</si>
  <si>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</si>
  <si>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</si>
  <si>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</si>
  <si>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</si>
  <si>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</si>
  <si>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</si>
  <si>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</si>
  <si>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</si>
  <si>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</si>
  <si>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</si>
  <si>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</si>
  <si>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</si>
  <si>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</si>
  <si>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</si>
  <si>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</si>
  <si>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</si>
  <si>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</si>
  <si>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</si>
  <si>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</si>
  <si>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</si>
  <si>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</si>
  <si>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</si>
  <si>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</si>
  <si>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</si>
  <si>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</si>
  <si>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</si>
  <si>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</si>
  <si>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</si>
  <si>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</si>
  <si>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</si>
  <si>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</si>
  <si>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</si>
  <si>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</si>
  <si>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</si>
  <si>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</si>
  <si>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</si>
  <si>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</si>
  <si>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</si>
  <si>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</si>
  <si>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</si>
  <si>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</si>
  <si>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</si>
  <si>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</si>
  <si>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</si>
  <si>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</si>
  <si>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</si>
  <si>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</si>
  <si>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</si>
  <si>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</si>
  <si>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</si>
  <si>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</si>
  <si>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</si>
  <si>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</si>
  <si>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</si>
  <si>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</si>
  <si>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</si>
  <si>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</si>
  <si>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</si>
  <si>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</si>
  <si>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</si>
  <si>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</si>
  <si>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</si>
  <si>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</si>
  <si>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</si>
  <si>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</si>
  <si>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</si>
  <si>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</si>
  <si>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</si>
  <si>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</si>
  <si>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</si>
  <si>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</si>
  <si>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</si>
  <si>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</si>
  <si>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</si>
  <si>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</si>
  <si>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</si>
  <si>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</si>
  <si>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</si>
  <si>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</si>
  <si>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</si>
  <si>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</si>
  <si>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</si>
  <si>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</si>
  <si>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</si>
  <si>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</si>
  <si>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</si>
  <si>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</si>
  <si>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</si>
  <si>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</si>
  <si>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</si>
  <si>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</si>
  <si>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</si>
  <si>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</si>
  <si>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</si>
  <si>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</si>
  <si>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</si>
  <si>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</si>
  <si>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</si>
  <si>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</si>
  <si>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</si>
  <si>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</si>
  <si>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</si>
  <si>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</si>
  <si>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</si>
  <si>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</si>
  <si>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</si>
  <si>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</si>
  <si>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</si>
  <si>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</si>
  <si>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</si>
  <si>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</si>
  <si>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</si>
  <si>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</si>
  <si>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</si>
  <si>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</si>
  <si>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</si>
  <si>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</si>
  <si>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</si>
  <si>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</si>
  <si>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</si>
  <si>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</si>
  <si>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</si>
  <si>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</si>
  <si>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</si>
  <si>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</si>
  <si>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</si>
  <si>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</si>
  <si>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</si>
  <si>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</si>
  <si>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</si>
  <si>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</si>
  <si>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</si>
  <si>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</si>
  <si>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</si>
  <si>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</si>
  <si>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</si>
  <si>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</si>
  <si>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</si>
  <si>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</si>
  <si>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</si>
  <si>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</si>
  <si>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</si>
  <si>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</si>
  <si>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</si>
  <si>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</si>
  <si>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</si>
  <si>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</si>
  <si>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</si>
  <si>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</si>
  <si>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</si>
  <si>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</si>
  <si>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</si>
  <si>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</si>
  <si>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</si>
  <si>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</si>
  <si>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</si>
  <si>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</si>
  <si>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</si>
  <si>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</si>
  <si>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</si>
  <si>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</si>
  <si>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</si>
  <si>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</si>
  <si>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</si>
  <si>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</si>
  <si>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</si>
  <si>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</si>
  <si>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</si>
  <si>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</si>
  <si>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</si>
  <si>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</si>
  <si>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</si>
  <si>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</si>
  <si>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</si>
  <si>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</si>
  <si>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</si>
  <si>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</si>
  <si>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</si>
  <si>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</si>
  <si>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</si>
  <si>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</si>
  <si>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</si>
  <si>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</si>
  <si>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</si>
  <si>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</si>
  <si>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</si>
  <si>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</si>
  <si>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</si>
  <si>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</si>
  <si>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</si>
  <si>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</si>
  <si>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</si>
  <si>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</si>
  <si>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</si>
  <si>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</si>
  <si>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</si>
  <si>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</si>
  <si>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</si>
  <si>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</si>
  <si>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</si>
  <si>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</si>
  <si>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</si>
  <si>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</si>
  <si>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</si>
  <si>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</si>
  <si>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</si>
  <si>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</si>
  <si>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</si>
  <si>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</si>
  <si>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</si>
  <si>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</si>
  <si>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</si>
  <si>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</si>
  <si>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</si>
  <si>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</si>
  <si>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</si>
  <si>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</si>
  <si>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</si>
  <si>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</si>
  <si>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</si>
  <si>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</si>
  <si>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</si>
  <si>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</si>
  <si>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</si>
  <si>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</si>
  <si>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</si>
  <si>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</si>
  <si>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</si>
  <si>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</si>
  <si>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</si>
  <si>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</si>
  <si>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</si>
  <si>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</si>
  <si>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</si>
  <si>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</si>
  <si>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</si>
  <si>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</si>
  <si>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</si>
  <si>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</si>
  <si>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</si>
  <si>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</si>
  <si>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</si>
  <si>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</si>
  <si>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</si>
  <si>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</si>
  <si>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</si>
  <si>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</si>
  <si>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</si>
  <si>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</si>
  <si>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</si>
  <si>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</si>
  <si>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</si>
  <si>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</si>
  <si>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</si>
  <si>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</si>
  <si>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</si>
  <si>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</si>
  <si>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</si>
  <si>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</si>
  <si>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</si>
  <si>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</si>
  <si>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</si>
  <si>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</si>
  <si>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</si>
  <si>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</si>
  <si>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</si>
  <si>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</si>
  <si>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</si>
  <si>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</si>
  <si>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</si>
  <si>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</si>
  <si>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</si>
  <si>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</si>
  <si>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</si>
  <si>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</si>
  <si>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</si>
  <si>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</si>
  <si>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</si>
  <si>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</si>
  <si>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</si>
  <si>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</si>
  <si>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</si>
  <si>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</si>
  <si>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</si>
  <si>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</si>
  <si>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</si>
  <si>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</si>
  <si>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</si>
  <si>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</si>
  <si>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</si>
  <si>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</si>
  <si>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</si>
  <si>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</si>
  <si>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</si>
  <si>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</si>
  <si>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</si>
  <si>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</si>
  <si>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</si>
  <si>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</si>
  <si>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</si>
  <si>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</si>
  <si>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</si>
  <si>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</si>
  <si>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</si>
  <si>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</si>
  <si>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</si>
  <si>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</si>
  <si>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</si>
  <si>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</si>
  <si>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</si>
  <si>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</si>
  <si>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</si>
  <si>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</si>
  <si>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</si>
  <si>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</si>
  <si>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</si>
  <si>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</si>
  <si>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</si>
  <si>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</si>
  <si>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</si>
  <si>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</si>
  <si>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</si>
  <si>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</si>
  <si>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</si>
  <si>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</si>
  <si>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</si>
  <si>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</si>
  <si>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</si>
  <si>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</si>
  <si>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</si>
  <si>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</si>
  <si>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</si>
  <si>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</si>
  <si>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</si>
  <si>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</si>
  <si>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</si>
  <si>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</si>
  <si>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</si>
  <si>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</si>
  <si>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</si>
  <si>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</si>
  <si>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</si>
  <si>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</si>
  <si>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</si>
  <si>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</si>
  <si>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</si>
  <si>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</si>
  <si>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</si>
  <si>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</si>
  <si>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</si>
  <si>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</si>
  <si>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</si>
  <si>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</si>
  <si>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</si>
  <si>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</si>
  <si>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</si>
  <si>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</si>
  <si>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</si>
  <si>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</si>
  <si>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</si>
  <si>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</si>
  <si>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</si>
  <si>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</si>
  <si>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</si>
  <si>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</si>
  <si>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</si>
  <si>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</si>
  <si>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</si>
  <si>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</si>
  <si>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</si>
  <si>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</si>
  <si>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</si>
  <si>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</si>
  <si>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</si>
  <si>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</si>
  <si>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</si>
  <si>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</si>
  <si>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</si>
  <si>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</si>
  <si>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</si>
  <si>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</si>
  <si>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</si>
  <si>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</si>
  <si>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</si>
  <si>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</si>
  <si>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</si>
  <si>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</si>
  <si>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</si>
  <si>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</si>
  <si>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</si>
  <si>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</si>
  <si>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</si>
  <si>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</si>
  <si>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</si>
  <si>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</si>
  <si>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</si>
  <si>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</si>
  <si>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</si>
  <si>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</si>
  <si>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</si>
  <si>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</si>
  <si>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</si>
  <si>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</si>
  <si>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</si>
  <si>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</si>
  <si>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</si>
  <si>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</si>
  <si>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</si>
  <si>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</si>
  <si>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</si>
  <si>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</si>
  <si>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</si>
  <si>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</si>
  <si>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</si>
  <si>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</si>
  <si>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</si>
  <si>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</si>
  <si>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</si>
  <si>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</si>
  <si>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</si>
  <si>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</si>
  <si>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</si>
  <si>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</si>
  <si>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</si>
  <si>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</si>
  <si>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</si>
  <si>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</si>
  <si>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</si>
  <si>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</si>
  <si>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</si>
  <si>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</si>
  <si>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</si>
  <si>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</si>
  <si>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</si>
  <si>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</si>
  <si>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</si>
  <si>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</si>
  <si>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</si>
  <si>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</si>
  <si>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</si>
  <si>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</si>
  <si>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</si>
  <si>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</si>
  <si>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</si>
  <si>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</si>
  <si>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</si>
  <si>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</si>
  <si>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</si>
  <si>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</si>
  <si>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</si>
  <si>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</si>
  <si>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</si>
  <si>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</si>
  <si>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</si>
  <si>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</si>
  <si>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</si>
  <si>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</si>
  <si>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</si>
  <si>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</si>
  <si>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</si>
  <si>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</si>
  <si>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</si>
  <si>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</si>
  <si>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</si>
  <si>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</si>
  <si>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</si>
  <si>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</si>
  <si>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</si>
  <si>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</si>
  <si>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</si>
  <si>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</si>
  <si>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</si>
  <si>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</si>
  <si>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</si>
  <si>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</si>
  <si>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</si>
  <si>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</si>
  <si>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</si>
  <si>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</si>
  <si>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</si>
  <si>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</si>
  <si>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</si>
  <si>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</si>
  <si>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</si>
  <si>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</si>
  <si>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</si>
  <si>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</si>
  <si>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</si>
  <si>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</si>
  <si>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</si>
  <si>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</si>
  <si>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</si>
  <si>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</si>
  <si>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</si>
  <si>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</si>
  <si>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</si>
  <si>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</si>
  <si>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</si>
  <si>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</si>
  <si>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</si>
  <si>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</si>
  <si>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</si>
  <si>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</si>
  <si>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</si>
  <si>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</si>
  <si>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</si>
  <si>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</si>
  <si>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</si>
  <si>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</si>
  <si>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</si>
  <si>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</si>
  <si>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</si>
  <si>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</si>
  <si>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</si>
  <si>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</si>
  <si>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</si>
  <si>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</si>
  <si>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</si>
  <si>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</si>
  <si>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</si>
  <si>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</si>
  <si>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</si>
  <si>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</si>
  <si>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</si>
  <si>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</si>
  <si>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</si>
  <si>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</si>
  <si>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</si>
  <si>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</si>
  <si>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</si>
  <si>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</si>
  <si>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</si>
  <si>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</si>
  <si>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</si>
  <si>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</si>
  <si>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</si>
  <si>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</si>
  <si>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</si>
  <si>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</si>
  <si>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</si>
  <si>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</si>
  <si>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</si>
  <si>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</si>
  <si>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</si>
  <si>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</si>
  <si>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</si>
  <si>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</si>
  <si>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</si>
  <si>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</si>
  <si>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</si>
  <si>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</si>
  <si>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</si>
  <si>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</si>
  <si>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</si>
  <si>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</si>
  <si>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</si>
  <si>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</si>
  <si>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</si>
  <si>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</si>
  <si>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</si>
  <si>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</si>
  <si>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</si>
  <si>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</si>
  <si>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</si>
  <si>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</si>
  <si>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</si>
  <si>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</si>
  <si>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</si>
  <si>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</si>
  <si>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</si>
  <si>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</si>
  <si>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</si>
  <si>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</si>
  <si>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</si>
  <si>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</si>
  <si>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</si>
  <si>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</si>
  <si>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</si>
  <si>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</si>
  <si>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</si>
  <si>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</si>
  <si>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</si>
  <si>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</si>
  <si>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</si>
  <si>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</si>
  <si>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</si>
  <si>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</si>
  <si>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</si>
  <si>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</si>
  <si>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</si>
  <si>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</si>
  <si>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</si>
  <si>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</si>
  <si>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</si>
  <si>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</si>
  <si>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</si>
  <si>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</si>
  <si>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</si>
  <si>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</si>
  <si>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</si>
  <si>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</si>
  <si>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</si>
  <si>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</si>
  <si>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</si>
  <si>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</si>
  <si>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</si>
  <si>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</si>
  <si>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</si>
  <si>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</si>
  <si>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</si>
  <si>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</si>
  <si>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</si>
  <si>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</si>
  <si>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</si>
  <si>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</si>
  <si>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</si>
  <si>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</si>
  <si>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</si>
  <si>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</si>
  <si>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</si>
  <si>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</si>
  <si>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</si>
  <si>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</si>
  <si>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</si>
  <si>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</si>
  <si>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</si>
  <si>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</si>
  <si>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</si>
  <si>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</si>
  <si>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</si>
  <si>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</si>
  <si>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</si>
  <si>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</si>
  <si>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</si>
  <si>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</si>
  <si>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</si>
  <si>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</si>
  <si>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</si>
  <si>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</si>
  <si>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</si>
  <si>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</si>
  <si>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</si>
  <si>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</si>
  <si>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</si>
  <si>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</si>
  <si>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</si>
  <si>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</si>
  <si>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</si>
  <si>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</si>
  <si>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</si>
  <si>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</si>
  <si>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</si>
  <si>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</si>
  <si>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</si>
  <si>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</si>
  <si>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</si>
  <si>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</si>
  <si>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</si>
  <si>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</si>
  <si>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</si>
  <si>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</si>
  <si>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</si>
  <si>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</si>
  <si>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</si>
  <si>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</si>
  <si>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</si>
  <si>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</si>
  <si>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</si>
  <si>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</si>
  <si>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</si>
  <si>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</si>
  <si>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</si>
  <si>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</si>
  <si>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</si>
  <si>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</si>
  <si>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</si>
  <si>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</si>
  <si>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</si>
  <si>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</si>
  <si>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</si>
  <si>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</si>
  <si>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</si>
  <si>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</si>
  <si>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</si>
  <si>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</si>
  <si>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</si>
  <si>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</si>
  <si>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</si>
  <si>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</si>
  <si>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</si>
  <si>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</si>
  <si>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</si>
  <si>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</si>
  <si>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</si>
  <si>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</si>
  <si>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</si>
  <si>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</si>
  <si>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</si>
  <si>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</si>
  <si>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</si>
  <si>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</si>
  <si>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</si>
  <si>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</si>
  <si>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</si>
  <si>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</si>
  <si>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</si>
  <si>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</si>
  <si>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</si>
  <si>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</si>
  <si>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</si>
  <si>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</si>
  <si>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</si>
  <si>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</si>
  <si>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</si>
  <si>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</si>
  <si>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</si>
  <si>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</si>
  <si>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</si>
  <si>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</si>
  <si>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</si>
  <si>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</si>
  <si>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</si>
  <si>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</si>
  <si>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</si>
  <si>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</si>
  <si>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</si>
  <si>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</si>
  <si>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</si>
  <si>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</si>
  <si>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</si>
  <si>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</si>
  <si>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</si>
  <si>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</si>
  <si>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</si>
  <si>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</si>
  <si>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</si>
  <si>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</si>
  <si>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</si>
  <si>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</si>
  <si>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</si>
  <si>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</si>
  <si>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</si>
  <si>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</si>
  <si>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</si>
  <si>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</si>
  <si>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</si>
  <si>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</si>
  <si>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</si>
  <si>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</si>
  <si>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</si>
  <si>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</si>
  <si>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</si>
  <si>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</si>
  <si>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</si>
  <si>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</si>
  <si>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</si>
  <si>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</si>
  <si>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</si>
  <si>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</si>
  <si>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</si>
  <si>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</si>
  <si>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</si>
  <si>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</si>
  <si>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</si>
  <si>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</si>
  <si>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</si>
  <si>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</si>
  <si>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</si>
  <si>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</si>
  <si>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</si>
  <si>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</si>
  <si>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</si>
  <si>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</si>
  <si>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</si>
  <si>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</si>
  <si>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</si>
  <si>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</si>
  <si>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</si>
  <si>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</si>
  <si>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</si>
  <si>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</si>
  <si>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</si>
  <si>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</si>
  <si>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</si>
  <si>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</si>
  <si>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</si>
  <si>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</si>
  <si>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</si>
  <si>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</si>
  <si>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</si>
  <si>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</si>
  <si>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</si>
  <si>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</si>
  <si>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</si>
  <si>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</si>
  <si>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</si>
  <si>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</si>
  <si>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</si>
  <si>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</si>
  <si>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</si>
  <si>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</si>
  <si>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</si>
  <si>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</si>
  <si>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</si>
  <si>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</si>
  <si>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</si>
  <si>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</si>
  <si>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</si>
  <si>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</si>
  <si>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</si>
  <si>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</si>
  <si>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</si>
  <si>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</si>
  <si>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</si>
  <si>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</si>
  <si>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</si>
  <si>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</si>
  <si>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</si>
  <si>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</si>
  <si>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</si>
  <si>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</si>
  <si>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</si>
  <si>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</si>
  <si>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</si>
  <si>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</si>
  <si>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</si>
  <si>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</si>
  <si>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</si>
  <si>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</si>
  <si>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</si>
  <si>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</si>
  <si>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</si>
  <si>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</si>
  <si>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</si>
  <si>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</si>
  <si>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</si>
  <si>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</si>
  <si>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</si>
  <si>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</si>
  <si>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</si>
  <si>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</si>
  <si>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</si>
  <si>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</si>
  <si>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</si>
  <si>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</si>
  <si>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</si>
  <si>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</si>
  <si>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</si>
  <si>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</si>
  <si>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</si>
  <si>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</si>
  <si>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</si>
  <si>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</si>
  <si>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</si>
  <si>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</si>
  <si>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</si>
  <si>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</si>
  <si>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</si>
  <si>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</si>
  <si>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</si>
  <si>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</si>
  <si>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</si>
  <si>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</si>
  <si>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</si>
  <si>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</si>
  <si>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</si>
  <si>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</si>
  <si>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</si>
  <si>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</si>
  <si>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</si>
  <si>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</si>
  <si>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</si>
  <si>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</si>
  <si>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</si>
  <si>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</si>
  <si>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</si>
  <si>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</si>
  <si>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</si>
  <si>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</si>
  <si>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</si>
  <si>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</si>
  <si>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</si>
  <si>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</si>
  <si>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</si>
  <si>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</si>
  <si>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</si>
  <si>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</si>
  <si>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</si>
  <si>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</si>
  <si>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</si>
  <si>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</si>
  <si>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</si>
  <si>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</si>
  <si>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</si>
  <si>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</si>
  <si>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</si>
  <si>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</si>
  <si>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</si>
  <si>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</si>
  <si>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</si>
  <si>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</si>
  <si>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</si>
  <si>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</si>
  <si>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</si>
  <si>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</si>
  <si>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</si>
  <si>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</si>
  <si>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</si>
  <si>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</si>
  <si>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</si>
  <si>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</si>
  <si>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</si>
  <si>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</si>
  <si>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</si>
  <si>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</si>
  <si>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</si>
  <si>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</si>
  <si>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</si>
  <si>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</si>
  <si>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</si>
  <si>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</si>
  <si>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</si>
  <si>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</si>
  <si>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</si>
  <si>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</si>
  <si>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</si>
  <si>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</si>
  <si>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</si>
  <si>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</si>
  <si>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</si>
  <si>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</si>
  <si>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</si>
  <si>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</si>
  <si>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</si>
  <si>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</si>
  <si>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</si>
  <si>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</si>
  <si>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</si>
  <si>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</si>
  <si>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</si>
  <si>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</si>
  <si>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</si>
  <si>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</si>
  <si>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</si>
  <si>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</si>
  <si>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</si>
  <si>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</si>
  <si>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</si>
  <si>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</si>
  <si>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</si>
  <si>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</si>
  <si>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</si>
  <si>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</si>
  <si>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</si>
  <si>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</si>
  <si>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</si>
  <si>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</si>
  <si>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</si>
  <si>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</si>
  <si>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</si>
  <si>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</si>
  <si>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</si>
  <si>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</si>
  <si>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</si>
  <si>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</si>
  <si>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</si>
  <si>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</si>
  <si>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</si>
  <si>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</si>
  <si>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</si>
  <si>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</si>
  <si>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</si>
  <si>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</si>
  <si>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</si>
  <si>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</si>
  <si>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</si>
  <si>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</si>
  <si>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</si>
  <si>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</si>
  <si>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</si>
  <si>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</si>
  <si>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</si>
  <si>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</si>
  <si>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</si>
  <si>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</si>
  <si>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</si>
  <si>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</si>
  <si>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</si>
  <si>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</si>
  <si>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</si>
  <si>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</si>
  <si>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</si>
  <si>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</si>
  <si>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</si>
  <si>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</si>
  <si>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</si>
  <si>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</si>
  <si>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</si>
  <si>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</si>
  <si>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</si>
  <si>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</si>
  <si>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</si>
  <si>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</si>
  <si>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</si>
  <si>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</si>
  <si>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</si>
  <si>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</si>
  <si>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</si>
  <si>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</si>
  <si>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</si>
  <si>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</si>
  <si>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</si>
  <si>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</si>
  <si>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</si>
  <si>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</si>
  <si>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</si>
  <si>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</si>
  <si>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</si>
  <si>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</si>
  <si>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</si>
  <si>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</si>
  <si>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</si>
  <si>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</si>
  <si>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</si>
  <si>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</si>
  <si>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</si>
  <si>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</si>
  <si>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</si>
  <si>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</si>
  <si>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</si>
  <si>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</si>
  <si>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</si>
  <si>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</si>
  <si>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</si>
  <si>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</si>
  <si>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</si>
  <si>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</si>
  <si>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</si>
  <si>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</si>
  <si>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</si>
  <si>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</si>
  <si>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</si>
  <si>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</si>
  <si>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</si>
  <si>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</si>
  <si>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</si>
  <si>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</si>
  <si>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</si>
  <si>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</si>
  <si>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</si>
  <si>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</si>
  <si>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</si>
  <si>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</si>
  <si>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</si>
  <si>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</si>
  <si>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</si>
  <si>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</si>
  <si>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</si>
  <si>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</si>
  <si>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</si>
  <si>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</si>
  <si>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</si>
  <si>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</si>
  <si>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</si>
  <si>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</si>
  <si>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</si>
  <si>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</si>
  <si>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</si>
  <si>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</si>
  <si>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</si>
  <si>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</si>
  <si>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</si>
  <si>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</si>
  <si>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</si>
  <si>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</si>
  <si>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</si>
  <si>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</si>
  <si>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</si>
  <si>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</si>
  <si>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</si>
  <si>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</si>
  <si>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</si>
  <si>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</si>
  <si>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</si>
  <si>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</si>
  <si>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</si>
  <si>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</si>
  <si>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</si>
  <si>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</si>
  <si>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</si>
  <si>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</si>
  <si>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</si>
  <si>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</si>
  <si>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</si>
  <si>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</si>
  <si>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</si>
  <si>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</si>
  <si>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</si>
  <si>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</si>
  <si>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</si>
  <si>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</si>
  <si>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</si>
  <si>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</si>
  <si>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</si>
  <si>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</si>
  <si>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</si>
  <si>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</si>
  <si>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</si>
  <si>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</si>
  <si>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</si>
  <si>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</si>
  <si>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</si>
  <si>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</si>
  <si>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</si>
  <si>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</si>
  <si>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</si>
  <si>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</si>
  <si>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</si>
  <si>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</si>
  <si>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</si>
  <si>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</si>
  <si>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</si>
  <si>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</si>
  <si>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</si>
  <si>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</si>
  <si>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</si>
  <si>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</si>
  <si>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</si>
  <si>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</si>
  <si>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</si>
  <si>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</si>
  <si>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</si>
  <si>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</si>
  <si>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</si>
  <si>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</si>
  <si>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</si>
  <si>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</si>
  <si>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</si>
  <si>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</si>
  <si>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</si>
  <si>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</si>
  <si>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</si>
  <si>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</si>
  <si>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</si>
  <si>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</si>
  <si>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</si>
  <si>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</si>
  <si>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</si>
  <si>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</si>
  <si>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</si>
  <si>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</si>
  <si>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</si>
  <si>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</si>
  <si>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</si>
  <si>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</si>
  <si>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</si>
  <si>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</si>
  <si>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</si>
  <si>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</si>
  <si>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</si>
  <si>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</si>
  <si>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</si>
  <si>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</si>
  <si>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</si>
  <si>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</si>
  <si>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</si>
  <si>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</si>
  <si>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</si>
  <si>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</si>
  <si>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</si>
  <si>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</si>
  <si>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</si>
  <si>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</si>
  <si>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</si>
  <si>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</si>
  <si>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</si>
  <si>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</si>
  <si>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</si>
  <si>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</si>
  <si>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</si>
  <si>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</si>
  <si>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</si>
  <si>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</si>
  <si>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</si>
  <si>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</si>
  <si>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</si>
  <si>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</si>
  <si>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</si>
  <si>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</si>
  <si>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</si>
  <si>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</si>
  <si>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</si>
  <si>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</si>
  <si>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</si>
  <si>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</si>
  <si>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</si>
  <si>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</si>
  <si>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</si>
  <si>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</si>
  <si>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</si>
  <si>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</si>
  <si>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</si>
  <si>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</si>
  <si>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</si>
  <si>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</si>
  <si>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</si>
  <si>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</si>
  <si>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</si>
  <si>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</si>
  <si>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</si>
  <si>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</si>
  <si>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</si>
  <si>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</si>
  <si>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</si>
  <si>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</si>
  <si>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</si>
  <si>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</si>
  <si>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</si>
  <si>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</si>
  <si>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</si>
  <si>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</si>
  <si>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</si>
  <si>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</si>
  <si>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</si>
  <si>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</si>
  <si>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</si>
  <si>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</si>
  <si>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</si>
  <si>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</si>
  <si>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</si>
  <si>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</si>
  <si>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</si>
  <si>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</si>
  <si>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</si>
  <si>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</si>
  <si>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</si>
  <si>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</si>
  <si>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</si>
  <si>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</si>
  <si>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</si>
  <si>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</si>
  <si>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</si>
  <si>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</si>
  <si>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</si>
  <si>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</si>
  <si>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</si>
  <si>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</si>
  <si>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</si>
  <si>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</si>
  <si>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</si>
  <si>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</si>
  <si>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</si>
  <si>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</si>
  <si>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</si>
  <si>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</si>
  <si>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</si>
  <si>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</si>
  <si>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</si>
  <si>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</si>
  <si>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</si>
  <si>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</si>
  <si>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</si>
  <si>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</si>
  <si>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</si>
  <si>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</si>
  <si>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</si>
  <si>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</si>
  <si>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</si>
  <si>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</si>
  <si>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</si>
  <si>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</si>
  <si>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</si>
  <si>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</si>
  <si>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</si>
  <si>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</si>
  <si>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</si>
  <si>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</si>
  <si>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</si>
  <si>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</si>
  <si>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</si>
  <si>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</si>
  <si>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</si>
  <si>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</si>
  <si>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</si>
  <si>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</si>
  <si>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</si>
  <si>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</si>
  <si>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</si>
  <si>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</si>
  <si>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</si>
  <si>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</si>
  <si>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</si>
  <si>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</si>
  <si>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</si>
  <si>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</si>
  <si>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</si>
  <si>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</si>
  <si>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</si>
  <si>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</si>
  <si>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</si>
  <si>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</si>
  <si>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</si>
  <si>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</si>
  <si>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</si>
  <si>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</si>
  <si>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</si>
  <si>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</si>
  <si>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</si>
  <si>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</si>
  <si>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</si>
  <si>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</si>
  <si>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</si>
  <si>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</si>
  <si>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</si>
  <si>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</si>
  <si>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</si>
  <si>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</si>
  <si>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</si>
  <si>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</si>
  <si>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</si>
  <si>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</si>
  <si>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</si>
  <si>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</si>
  <si>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</si>
  <si>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</si>
  <si>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</si>
  <si>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</si>
  <si>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</si>
  <si>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</si>
  <si>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</si>
  <si>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</si>
  <si>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</si>
  <si>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</si>
  <si>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</si>
  <si>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</si>
  <si>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</si>
  <si>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</si>
  <si>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</si>
  <si>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</si>
  <si>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</si>
  <si>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</si>
  <si>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</si>
  <si>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</si>
  <si>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</si>
  <si>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</si>
  <si>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</si>
  <si>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</si>
  <si>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</si>
  <si>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</si>
  <si>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</si>
  <si>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</si>
  <si>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</si>
  <si>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</si>
  <si>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</si>
  <si>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</si>
  <si>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</si>
  <si>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</si>
  <si>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</si>
  <si>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</si>
  <si>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</si>
  <si>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</si>
  <si>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</si>
  <si>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</si>
  <si>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</si>
  <si>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</si>
  <si>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</si>
  <si>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</si>
  <si>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</si>
  <si>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</si>
  <si>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</si>
  <si>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</si>
  <si>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</si>
  <si>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</si>
  <si>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</si>
  <si>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</si>
  <si>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</si>
  <si>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</si>
  <si>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</si>
  <si>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</si>
  <si>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</si>
  <si>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</si>
  <si>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</si>
  <si>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</si>
  <si>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</si>
  <si>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</si>
  <si>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</si>
  <si>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</si>
  <si>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</si>
  <si>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</si>
  <si>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</si>
  <si>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</si>
  <si>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</si>
  <si>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</si>
  <si>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</si>
  <si>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</si>
  <si>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</si>
  <si>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</si>
  <si>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</si>
  <si>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</si>
  <si>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</si>
  <si>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</si>
  <si>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</si>
  <si>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</si>
  <si>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</si>
  <si>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</si>
  <si>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</si>
  <si>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</si>
  <si>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</si>
  <si>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</si>
  <si>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</si>
  <si>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</si>
  <si>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</si>
  <si>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</si>
  <si>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</si>
  <si>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</si>
  <si>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</si>
  <si>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</si>
  <si>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</si>
  <si>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</si>
  <si>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</si>
  <si>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</si>
  <si>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</si>
  <si>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</si>
  <si>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</si>
  <si>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</si>
  <si>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</si>
  <si>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</si>
  <si>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</si>
  <si>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</si>
  <si>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</si>
  <si>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</si>
  <si>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</si>
  <si>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</si>
  <si>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</si>
  <si>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</si>
  <si>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</si>
  <si>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</si>
  <si>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</si>
  <si>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</si>
  <si>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</si>
  <si>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</si>
  <si>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</si>
  <si>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</si>
  <si>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</si>
  <si>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</si>
  <si>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</si>
  <si>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</si>
  <si>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</si>
  <si>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</si>
  <si>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</si>
  <si>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</si>
  <si>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</si>
  <si>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</si>
  <si>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</si>
  <si>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</si>
  <si>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</si>
  <si>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</si>
  <si>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</si>
  <si>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</si>
  <si>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</si>
  <si>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</si>
  <si>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</si>
  <si>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</si>
  <si>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</si>
  <si>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</si>
  <si>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</si>
  <si>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</si>
  <si>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</si>
  <si>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</si>
  <si>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</si>
  <si>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</si>
  <si>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</si>
  <si>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</si>
  <si>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</si>
  <si>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</si>
  <si>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</si>
  <si>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</si>
  <si>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</si>
  <si>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</si>
  <si>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</si>
  <si>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</si>
  <si>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</si>
  <si>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</si>
  <si>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</si>
  <si>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</si>
  <si>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</si>
  <si>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</si>
  <si>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</si>
  <si>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</si>
  <si>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</si>
  <si>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</si>
  <si>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</si>
  <si>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</si>
  <si>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</si>
  <si>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</si>
  <si>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</si>
  <si>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</si>
  <si>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</si>
  <si>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</si>
  <si>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</si>
  <si>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</si>
  <si>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</si>
  <si>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</si>
  <si>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</si>
  <si>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</si>
  <si>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</si>
  <si>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</si>
  <si>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</si>
  <si>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</si>
  <si>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</si>
  <si>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</si>
  <si>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</si>
  <si>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</si>
  <si>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</si>
  <si>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</si>
  <si>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</si>
  <si>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</si>
  <si>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</si>
  <si>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</si>
  <si>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</si>
  <si>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</si>
  <si>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</si>
  <si>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</si>
  <si>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</si>
  <si>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</si>
  <si>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</si>
  <si>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</si>
  <si>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</si>
  <si>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</si>
  <si>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</si>
  <si>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</si>
  <si>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</si>
  <si>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</si>
  <si>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</si>
  <si>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</si>
  <si>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</si>
  <si>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</si>
  <si>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</si>
  <si>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</si>
  <si>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</si>
  <si>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</si>
  <si>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</si>
  <si>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</si>
  <si>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</si>
  <si>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</si>
  <si>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</si>
  <si>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</si>
  <si>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</si>
  <si>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</si>
  <si>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</si>
  <si>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</si>
  <si>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</si>
  <si>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</si>
  <si>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</si>
  <si>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</si>
  <si>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</si>
  <si>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</si>
  <si>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</si>
  <si>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</si>
  <si>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</si>
  <si>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</si>
  <si>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</si>
  <si>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</si>
  <si>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</si>
  <si>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</si>
  <si>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</si>
  <si>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</si>
  <si>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</si>
  <si>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</si>
  <si>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</si>
  <si>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</si>
  <si>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</si>
  <si>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</si>
  <si>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</si>
  <si>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</si>
  <si>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</si>
  <si>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</si>
  <si>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</si>
  <si>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</si>
  <si>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</si>
  <si>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</si>
  <si>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</si>
  <si>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</si>
  <si>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</si>
  <si>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</si>
  <si>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</si>
  <si>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</si>
  <si>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</si>
  <si>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</si>
  <si>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</si>
  <si>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</si>
  <si>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</si>
  <si>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</si>
  <si>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</si>
  <si>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</si>
  <si>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</si>
  <si>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</si>
  <si>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</si>
  <si>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</si>
  <si>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</si>
  <si>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</si>
  <si>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</si>
  <si>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</si>
  <si>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</si>
  <si>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</si>
  <si>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</si>
  <si>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</si>
  <si>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</si>
  <si>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</si>
  <si>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</si>
  <si>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</si>
  <si>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</si>
  <si>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</si>
  <si>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</si>
  <si>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</si>
  <si>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</si>
  <si>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</si>
  <si>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</si>
  <si>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</si>
  <si>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</si>
  <si>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</si>
  <si>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</si>
  <si>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</si>
  <si>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</si>
  <si>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</si>
  <si>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</si>
  <si>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</si>
  <si>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</si>
  <si>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</si>
  <si>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</si>
  <si>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</si>
  <si>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</si>
  <si>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</si>
  <si>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</si>
  <si>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</si>
  <si>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</si>
  <si>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</si>
  <si>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</si>
  <si>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</si>
  <si>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</si>
  <si>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</si>
  <si>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</si>
  <si>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</si>
  <si>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</si>
  <si>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</si>
  <si>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</si>
  <si>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</si>
  <si>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</si>
  <si>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</si>
  <si>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</si>
  <si>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</si>
  <si>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</si>
  <si>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</si>
  <si>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</si>
  <si>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</si>
  <si>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</si>
  <si>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</si>
  <si>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</si>
  <si>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</si>
  <si>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</si>
  <si>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</si>
  <si>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</si>
  <si>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</si>
  <si>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</si>
  <si>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</si>
  <si>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</si>
  <si>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</si>
  <si>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</si>
  <si>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</si>
  <si>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</si>
  <si>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</si>
  <si>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</si>
  <si>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</si>
  <si>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</si>
  <si>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</si>
  <si>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</si>
  <si>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</si>
  <si>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</si>
  <si>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</si>
  <si>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</si>
  <si>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</si>
  <si>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</si>
  <si>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</si>
  <si>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</si>
  <si>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</si>
  <si>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</si>
  <si>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</si>
  <si>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</si>
  <si>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</si>
  <si>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</si>
  <si>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</si>
  <si>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</si>
  <si>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</si>
  <si>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</si>
  <si>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</si>
  <si>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</si>
  <si>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</si>
  <si>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</si>
  <si>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</si>
  <si>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</si>
  <si>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</si>
  <si>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</si>
  <si>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</si>
  <si>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</si>
  <si>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</si>
  <si>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</si>
  <si>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</si>
  <si>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</si>
  <si>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</si>
  <si>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</si>
  <si>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</si>
  <si>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</si>
  <si>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</si>
  <si>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</si>
  <si>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</si>
  <si>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</si>
  <si>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</si>
  <si>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</si>
  <si>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</si>
  <si>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</si>
  <si>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</si>
  <si>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</si>
  <si>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</si>
  <si>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</si>
  <si>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</si>
  <si>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</si>
  <si>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</si>
  <si>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</si>
  <si>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</si>
  <si>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</si>
  <si>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</si>
  <si>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</si>
  <si>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</si>
  <si>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</si>
  <si>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</si>
  <si>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</si>
  <si>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</si>
  <si>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</si>
  <si>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</si>
  <si>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</si>
  <si>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</si>
  <si>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</si>
  <si>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</si>
  <si>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</si>
  <si>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</si>
  <si>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</si>
  <si>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</si>
  <si>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</si>
  <si>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</si>
  <si>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</si>
  <si>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</si>
  <si>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</si>
  <si>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</si>
  <si>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</si>
  <si>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</si>
  <si>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</si>
  <si>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</si>
  <si>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</si>
  <si>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</si>
  <si>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</si>
  <si>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</si>
  <si>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</si>
  <si>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</si>
  <si>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</si>
  <si>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</si>
  <si>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</si>
  <si>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</si>
  <si>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</si>
  <si>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</si>
  <si>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</si>
  <si>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</si>
  <si>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</si>
  <si>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</si>
  <si>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</si>
  <si>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</si>
  <si>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</si>
  <si>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</si>
  <si>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</si>
  <si>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</si>
  <si>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</si>
  <si>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</si>
  <si>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</si>
  <si>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</si>
  <si>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</si>
  <si>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</si>
  <si>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</si>
  <si>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</si>
  <si>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</si>
  <si>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</si>
  <si>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</si>
  <si>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</si>
  <si>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</si>
  <si>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</si>
  <si>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</si>
  <si>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</si>
  <si>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</si>
  <si>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</si>
  <si>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</si>
  <si>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</si>
  <si>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</si>
  <si>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</si>
  <si>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</si>
  <si>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</si>
  <si>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</si>
  <si>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</si>
  <si>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</si>
  <si>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</si>
  <si>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</si>
  <si>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</si>
  <si>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</si>
  <si>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</si>
  <si>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</si>
  <si>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</si>
  <si>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</si>
  <si>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</si>
  <si>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</si>
  <si>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</si>
  <si>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</si>
  <si>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</si>
  <si>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</si>
  <si>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</si>
  <si>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</si>
  <si>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</si>
  <si>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</si>
  <si>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</si>
  <si>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</si>
  <si>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</si>
  <si>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</si>
  <si>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</si>
  <si>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</si>
  <si>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</si>
  <si>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</si>
  <si>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</si>
  <si>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</si>
  <si>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</si>
  <si>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</si>
  <si>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</si>
  <si>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</si>
  <si>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</si>
  <si>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</si>
  <si>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</si>
  <si>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</si>
  <si>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</si>
  <si>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</si>
  <si>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</si>
  <si>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</si>
  <si>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</si>
  <si>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</si>
  <si>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</si>
  <si>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</si>
  <si>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</si>
  <si>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</si>
  <si>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</si>
  <si>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</si>
  <si>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</si>
  <si>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</si>
  <si>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</si>
  <si>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</si>
  <si>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</si>
  <si>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</si>
  <si>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</si>
  <si>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</si>
  <si>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</si>
  <si>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</si>
  <si>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</si>
  <si>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</si>
  <si>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</si>
  <si>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</si>
  <si>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</si>
  <si>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</si>
  <si>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</si>
  <si>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</si>
  <si>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</si>
  <si>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</si>
  <si>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</si>
  <si>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</si>
  <si>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</si>
  <si>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</si>
  <si>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</si>
  <si>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</si>
  <si>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</si>
  <si>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</si>
  <si>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</si>
  <si>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</si>
  <si>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</si>
  <si>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</si>
  <si>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</si>
  <si>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</si>
  <si>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</si>
  <si>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</si>
  <si>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</si>
  <si>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</si>
  <si>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</si>
  <si>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</si>
  <si>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</si>
  <si>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</si>
  <si>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</si>
  <si>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</si>
  <si>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</si>
  <si>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</si>
  <si>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</si>
  <si>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</si>
  <si>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</si>
  <si>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</si>
  <si>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</si>
  <si>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</si>
  <si>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</si>
  <si>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</si>
  <si>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</si>
  <si>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</si>
  <si>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</si>
  <si>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</si>
  <si>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</si>
  <si>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</si>
  <si>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</si>
  <si>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</si>
  <si>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</si>
  <si>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</si>
  <si>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</si>
  <si>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</si>
  <si>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</si>
  <si>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</si>
  <si>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</si>
  <si>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</si>
  <si>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</si>
  <si>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</si>
  <si>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</si>
  <si>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</si>
  <si>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</si>
  <si>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</si>
  <si>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</si>
  <si>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</si>
  <si>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</si>
  <si>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</si>
  <si>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</si>
  <si>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</si>
  <si>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</si>
  <si>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</si>
  <si>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</si>
  <si>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</si>
  <si>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</si>
  <si>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</si>
  <si>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</si>
  <si>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</si>
  <si>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</si>
  <si>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</si>
  <si>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</si>
  <si>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</si>
  <si>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</si>
  <si>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</si>
  <si>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</si>
  <si>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</si>
  <si>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</si>
  <si>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</si>
  <si>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</si>
  <si>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</si>
  <si>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</si>
  <si>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</si>
  <si>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</si>
  <si>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</si>
  <si>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</si>
  <si>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</si>
  <si>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</si>
  <si>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</si>
  <si>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</si>
  <si>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</si>
  <si>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</si>
  <si>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</si>
  <si>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</si>
  <si>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</si>
  <si>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</si>
  <si>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</si>
  <si>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</si>
  <si>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</si>
  <si>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</si>
  <si>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</si>
  <si>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</si>
  <si>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</si>
  <si>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</si>
  <si>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</si>
  <si>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</si>
  <si>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</si>
  <si>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</si>
  <si>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</si>
  <si>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</si>
  <si>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</si>
  <si>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</si>
  <si>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</si>
  <si>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</si>
  <si>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</si>
  <si>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</si>
  <si>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</si>
  <si>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</si>
  <si>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</si>
  <si>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</si>
  <si>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</si>
  <si>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</si>
  <si>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</si>
  <si>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</si>
  <si>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</si>
  <si>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</si>
  <si>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</si>
  <si>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</si>
  <si>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</si>
  <si>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</si>
  <si>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</si>
  <si>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</si>
  <si>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</si>
  <si>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</si>
  <si>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</si>
  <si>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</si>
  <si>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</si>
  <si>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</si>
  <si>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</si>
  <si>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</si>
  <si>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</si>
  <si>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</si>
  <si>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</si>
  <si>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</si>
  <si>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</si>
  <si>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</si>
  <si>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</si>
  <si>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</si>
  <si>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</si>
  <si>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</si>
  <si>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</si>
  <si>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</si>
  <si>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</si>
  <si>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</si>
  <si>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</si>
  <si>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</si>
  <si>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</si>
  <si>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</si>
  <si>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</si>
  <si>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</si>
  <si>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</si>
  <si>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</si>
  <si>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</si>
  <si>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</si>
  <si>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</si>
  <si>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</si>
  <si>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</si>
  <si>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</si>
  <si>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</si>
  <si>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</si>
  <si>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</si>
  <si>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</si>
  <si>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</si>
  <si>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</si>
  <si>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</si>
  <si>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</si>
  <si>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</si>
  <si>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</si>
  <si>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</si>
  <si>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</si>
  <si>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</si>
  <si>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</si>
  <si>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</si>
  <si>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</si>
  <si>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</si>
  <si>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</si>
  <si>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</si>
  <si>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</si>
  <si>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</si>
  <si>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</si>
  <si>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</si>
  <si>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</si>
  <si>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</si>
  <si>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</si>
  <si>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</si>
  <si>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</si>
  <si>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</si>
  <si>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</si>
  <si>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</si>
  <si>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</si>
  <si>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</si>
  <si>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</si>
  <si>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</si>
  <si>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</si>
  <si>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</si>
  <si>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</si>
  <si>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</si>
  <si>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</si>
  <si>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</si>
  <si>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</si>
  <si>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</si>
  <si>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</si>
  <si>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</si>
  <si>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</si>
  <si>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</si>
  <si>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</si>
  <si>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</si>
  <si>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</si>
  <si>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</si>
  <si>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</si>
  <si>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</si>
  <si>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</si>
  <si>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</si>
  <si>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</si>
  <si>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</si>
  <si>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</si>
  <si>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</si>
  <si>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</si>
  <si>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</si>
  <si>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</si>
  <si>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</si>
  <si>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</si>
  <si>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</si>
  <si>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</si>
  <si>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</si>
  <si>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</si>
  <si>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</si>
  <si>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</si>
  <si>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</si>
  <si>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</si>
  <si>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</si>
  <si>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</si>
  <si>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</si>
  <si>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</si>
  <si>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</si>
  <si>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</si>
  <si>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</si>
  <si>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</si>
  <si>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</si>
  <si>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</si>
  <si>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</si>
  <si>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</si>
  <si>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</si>
  <si>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</si>
  <si>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</si>
  <si>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</si>
  <si>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</si>
  <si>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</si>
  <si>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</si>
  <si>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</si>
  <si>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</si>
  <si>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</si>
  <si>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</si>
  <si>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</si>
  <si>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</si>
  <si>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</si>
  <si>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</si>
  <si>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</si>
  <si>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</si>
  <si>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</si>
  <si>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</si>
  <si>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</si>
  <si>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</si>
  <si>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</si>
  <si>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</si>
  <si>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</si>
  <si>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</si>
  <si>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</si>
  <si>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</si>
  <si>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</si>
  <si>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</si>
  <si>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</si>
  <si>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</si>
  <si>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</si>
  <si>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</si>
  <si>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</si>
  <si>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</si>
  <si>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</si>
  <si>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</si>
  <si>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</si>
  <si>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</si>
  <si>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</si>
  <si>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</si>
  <si>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</si>
  <si>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</si>
  <si>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</si>
  <si>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</si>
  <si>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</si>
  <si>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</si>
  <si>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</si>
  <si>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</si>
  <si>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</si>
  <si>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</si>
  <si>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</si>
  <si>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</si>
  <si>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</si>
  <si>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</si>
  <si>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</si>
  <si>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</si>
  <si>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</si>
  <si>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</si>
  <si>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</si>
  <si>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</si>
  <si>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</si>
  <si>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</si>
  <si>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</si>
  <si>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</si>
  <si>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</si>
  <si>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</si>
  <si>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</si>
  <si>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</si>
  <si>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</si>
  <si>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</si>
  <si>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</si>
  <si>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</si>
  <si>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</si>
  <si>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</si>
  <si>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</si>
  <si>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</si>
  <si>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</si>
  <si>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</si>
  <si>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</si>
  <si>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</si>
  <si>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</si>
  <si>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</si>
  <si>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</si>
  <si>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</si>
  <si>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</si>
  <si>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</si>
  <si>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</si>
  <si>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</si>
  <si>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</si>
  <si>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</si>
  <si>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</si>
  <si>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</si>
  <si>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</si>
  <si>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</si>
  <si>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</si>
  <si>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</si>
  <si>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</si>
  <si>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</si>
  <si>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</si>
  <si>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</si>
  <si>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</si>
  <si>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</si>
  <si>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</si>
  <si>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</si>
  <si>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</si>
  <si>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</si>
  <si>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</si>
  <si>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</si>
  <si>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</si>
  <si>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</si>
  <si>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</si>
  <si>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</si>
  <si>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</si>
  <si>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</si>
  <si>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</si>
  <si>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</si>
  <si>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</si>
  <si>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</si>
  <si>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</si>
  <si>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</si>
  <si>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</si>
  <si>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</si>
  <si>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</si>
  <si>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</si>
  <si>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</si>
  <si>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</si>
  <si>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</si>
  <si>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</si>
  <si>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</si>
  <si>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</si>
  <si>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</si>
  <si>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</si>
  <si>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</si>
  <si>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</si>
  <si>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</si>
  <si>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</si>
  <si>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</si>
  <si>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</si>
  <si>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</si>
  <si>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</si>
  <si>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</si>
  <si>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</si>
  <si>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</si>
  <si>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</si>
  <si>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</si>
  <si>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</si>
  <si>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</si>
  <si>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</si>
  <si>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</si>
  <si>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</si>
  <si>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</si>
  <si>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</si>
  <si>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</si>
  <si>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</si>
  <si>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</si>
  <si>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</si>
  <si>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</si>
  <si>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</si>
  <si>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</si>
  <si>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</si>
  <si>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</si>
  <si>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</si>
  <si>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</si>
  <si>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</si>
  <si>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</si>
  <si>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</si>
  <si>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</si>
  <si>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</si>
  <si>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</si>
  <si>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</si>
  <si>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</si>
  <si>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</si>
  <si>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</si>
  <si>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</si>
  <si>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</si>
  <si>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</si>
  <si>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</si>
  <si>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</si>
  <si>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</si>
  <si>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</si>
  <si>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</si>
  <si>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</si>
  <si>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</si>
  <si>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</si>
  <si>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</si>
  <si>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</si>
  <si>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</si>
  <si>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</si>
  <si>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</si>
  <si>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</si>
  <si>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</si>
  <si>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</si>
  <si>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</si>
  <si>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</si>
  <si>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</si>
  <si>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</si>
  <si>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</si>
  <si>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</si>
  <si>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</si>
  <si>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</si>
  <si>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</si>
  <si>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</si>
  <si>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</si>
  <si>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</si>
  <si>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</si>
  <si>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</si>
  <si>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</si>
  <si>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</si>
  <si>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</si>
  <si>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</si>
  <si>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</si>
  <si>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</si>
  <si>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</si>
  <si>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</si>
  <si>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</si>
  <si>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</si>
  <si>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</si>
  <si>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</si>
  <si>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</si>
  <si>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</si>
  <si>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</si>
  <si>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</si>
  <si>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</si>
  <si>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</si>
  <si>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</si>
  <si>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</si>
  <si>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</si>
  <si>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</si>
  <si>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</si>
  <si>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</si>
  <si>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</si>
  <si>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</si>
  <si>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</si>
  <si>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</si>
  <si>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</si>
  <si>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</si>
  <si>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</si>
  <si>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</si>
  <si>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</si>
  <si>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</si>
  <si>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</si>
  <si>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</si>
  <si>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</si>
  <si>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</si>
  <si>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</si>
  <si>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</si>
  <si>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</si>
  <si>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</si>
  <si>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</si>
  <si>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</si>
  <si>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</si>
  <si>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</si>
  <si>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</si>
  <si>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</si>
  <si>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</si>
  <si>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</si>
  <si>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</si>
  <si>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</si>
  <si>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</si>
  <si>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</si>
  <si>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</si>
  <si>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</si>
  <si>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</si>
  <si>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</si>
  <si>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</si>
  <si>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</si>
  <si>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</si>
  <si>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</si>
  <si>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</si>
  <si>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</si>
  <si>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</si>
  <si>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</si>
  <si>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</si>
  <si>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</si>
  <si>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</si>
  <si>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</si>
  <si>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</si>
  <si>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</si>
  <si>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</si>
  <si>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</si>
  <si>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</si>
  <si>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</si>
  <si>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</si>
  <si>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</si>
  <si>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</si>
  <si>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</si>
  <si>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</si>
  <si>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</si>
  <si>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</si>
  <si>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</si>
  <si>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</si>
  <si>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</si>
  <si>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</si>
  <si>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</si>
  <si>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</si>
  <si>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</si>
  <si>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</si>
  <si>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</si>
  <si>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</si>
  <si>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</si>
  <si>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</si>
  <si>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</si>
  <si>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</si>
  <si>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</si>
  <si>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</si>
  <si>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</si>
  <si>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</si>
  <si>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</si>
  <si>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</si>
  <si>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</si>
  <si>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</si>
  <si>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</si>
  <si>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</si>
  <si>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</si>
  <si>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</si>
  <si>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</si>
  <si>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</si>
  <si>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</si>
  <si>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</si>
  <si>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</si>
  <si>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</si>
  <si>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</si>
  <si>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</si>
  <si>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</si>
  <si>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</si>
  <si>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</si>
  <si>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</si>
  <si>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</si>
  <si>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</si>
  <si>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</si>
  <si>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</si>
  <si>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</si>
  <si>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</si>
  <si>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</si>
  <si>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</si>
  <si>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</si>
  <si>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</si>
  <si>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</si>
  <si>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</si>
  <si>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</si>
  <si>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</si>
  <si>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</si>
  <si>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</si>
  <si>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</si>
  <si>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</si>
  <si>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</si>
  <si>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</si>
  <si>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</si>
  <si>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</si>
  <si>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</si>
  <si>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</si>
  <si>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</si>
  <si>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</si>
  <si>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</si>
  <si>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</si>
  <si>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</si>
  <si>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</si>
  <si>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</si>
  <si>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</si>
  <si>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</si>
  <si>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</si>
  <si>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</si>
  <si>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</si>
  <si>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</si>
  <si>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</si>
  <si>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</si>
  <si>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</si>
  <si>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</si>
  <si>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</si>
  <si>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</si>
  <si>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</si>
  <si>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</si>
  <si>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</si>
  <si>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</si>
  <si>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</si>
  <si>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</si>
  <si>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</si>
  <si>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</si>
  <si>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</si>
  <si>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</si>
  <si>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</si>
  <si>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</si>
  <si>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</si>
  <si>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</si>
  <si>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</si>
  <si>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</si>
  <si>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</si>
  <si>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</si>
  <si>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</si>
  <si>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</si>
  <si>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</si>
  <si>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</si>
  <si>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</si>
  <si>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</si>
  <si>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</si>
  <si>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</si>
  <si>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</si>
  <si>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</si>
  <si>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</si>
  <si>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</si>
  <si>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</si>
  <si>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</si>
  <si>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</si>
  <si>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</si>
  <si>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</si>
  <si>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</si>
  <si>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</si>
  <si>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</si>
  <si>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</si>
  <si>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</si>
  <si>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</si>
  <si>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</si>
  <si>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</si>
  <si>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</si>
  <si>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</si>
  <si>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</si>
  <si>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</si>
  <si>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</si>
  <si>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</si>
  <si>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</si>
  <si>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</si>
  <si>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</si>
  <si>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</si>
  <si>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</si>
  <si>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</si>
  <si>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</si>
  <si>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</si>
  <si>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</si>
  <si>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</si>
  <si>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</si>
  <si>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</si>
  <si>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</si>
  <si>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</si>
  <si>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</si>
  <si>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</si>
  <si>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</si>
  <si>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</si>
  <si>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</si>
  <si>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</si>
  <si>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</si>
  <si>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</si>
  <si>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</si>
  <si>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</si>
  <si>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</si>
  <si>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</si>
  <si>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</si>
  <si>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</si>
  <si>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</si>
  <si>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</si>
  <si>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</si>
  <si>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</si>
  <si>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</si>
  <si>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</si>
  <si>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</si>
  <si>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</si>
  <si>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</si>
  <si>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</si>
  <si>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</si>
  <si>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</si>
  <si>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</si>
  <si>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</si>
  <si>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</si>
  <si>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</si>
  <si>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</si>
  <si>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</si>
  <si>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</si>
  <si>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</si>
  <si>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</si>
  <si>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</si>
  <si>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</si>
  <si>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</si>
  <si>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</si>
  <si>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</si>
  <si>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</si>
  <si>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</si>
  <si>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</si>
  <si>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</si>
  <si>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</si>
  <si>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</si>
  <si>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</si>
  <si>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</si>
  <si>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</si>
  <si>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</si>
  <si>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</si>
  <si>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</si>
  <si>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</si>
  <si>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</si>
  <si>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</si>
  <si>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</si>
  <si>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</si>
  <si>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</si>
  <si>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</si>
  <si>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</si>
  <si>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</si>
  <si>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</si>
  <si>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</si>
  <si>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</si>
  <si>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</si>
  <si>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</si>
  <si>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</si>
  <si>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</si>
  <si>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</si>
  <si>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</si>
  <si>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</si>
  <si>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</si>
  <si>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</si>
  <si>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</si>
  <si>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</si>
  <si>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</si>
  <si>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</si>
  <si>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</si>
  <si>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</si>
  <si>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</si>
  <si>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</si>
  <si>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</si>
  <si>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</si>
  <si>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</si>
  <si>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</si>
  <si>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</si>
  <si>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</si>
  <si>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</si>
  <si>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</si>
  <si>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</si>
  <si>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</si>
  <si>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</si>
  <si>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</si>
  <si>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</si>
  <si>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</si>
  <si>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</si>
  <si>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</si>
  <si>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</si>
  <si>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</si>
  <si>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</si>
  <si>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</si>
  <si>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</si>
  <si>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</si>
  <si>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</si>
  <si>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</si>
  <si>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</si>
  <si>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</si>
  <si>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</si>
  <si>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</si>
  <si>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</si>
  <si>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</si>
  <si>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</si>
  <si>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</si>
  <si>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</si>
  <si>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</si>
  <si>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</si>
  <si>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</si>
  <si>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</si>
  <si>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</si>
  <si>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</si>
  <si>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</si>
  <si>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</si>
  <si>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</si>
  <si>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</si>
  <si>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</si>
  <si>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</si>
  <si>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</si>
  <si>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</si>
  <si>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</si>
  <si>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</si>
  <si>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</si>
  <si>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</si>
  <si>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</si>
  <si>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</si>
  <si>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</si>
  <si>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</si>
  <si>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</si>
  <si>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</si>
  <si>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</si>
  <si>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</si>
  <si>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</si>
  <si>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</si>
  <si>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</si>
  <si>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</si>
  <si>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</si>
  <si>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</si>
  <si>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</si>
  <si>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</si>
  <si>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</si>
  <si>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</si>
  <si>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</si>
  <si>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</si>
  <si>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</si>
  <si>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</si>
  <si>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</si>
  <si>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</si>
  <si>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</si>
  <si>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</si>
  <si>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</si>
  <si>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</si>
  <si>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</si>
  <si>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</si>
  <si>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</si>
  <si>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</si>
  <si>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</si>
  <si>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</si>
  <si>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</si>
  <si>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</si>
  <si>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</si>
  <si>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</si>
  <si>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</si>
  <si>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</si>
  <si>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</si>
  <si>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</si>
  <si>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</si>
  <si>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</si>
  <si>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</si>
  <si>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</si>
  <si>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</si>
  <si>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</si>
  <si>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</si>
  <si>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</si>
  <si>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</si>
  <si>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</si>
  <si>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</si>
  <si>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</si>
  <si>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</si>
  <si>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</si>
  <si>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</si>
  <si>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</si>
  <si>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</si>
  <si>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</si>
  <si>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</si>
  <si>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</si>
  <si>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</si>
  <si>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</si>
  <si>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</si>
  <si>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</si>
  <si>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</si>
  <si>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</si>
  <si>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</si>
  <si>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</si>
  <si>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</si>
  <si>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</si>
  <si>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</si>
  <si>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</si>
  <si>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</si>
  <si>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</si>
  <si>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</si>
  <si>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</si>
  <si>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</si>
  <si>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</si>
  <si>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</si>
  <si>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</si>
  <si>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</si>
  <si>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</si>
  <si>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</si>
  <si>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</si>
  <si>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</si>
  <si>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</si>
  <si>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</si>
  <si>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</si>
  <si>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</si>
  <si>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</si>
  <si>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</si>
  <si>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</si>
  <si>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</si>
  <si>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</si>
  <si>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</si>
  <si>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</si>
  <si>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</si>
  <si>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</si>
  <si>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</si>
  <si>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</si>
  <si>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</si>
  <si>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</si>
  <si>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</si>
  <si>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</si>
  <si>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</si>
  <si>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</si>
  <si>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</si>
  <si>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</si>
  <si>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</si>
  <si>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</si>
  <si>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</si>
  <si>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</si>
  <si>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</si>
  <si>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</si>
  <si>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</si>
  <si>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</si>
  <si>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</si>
  <si>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</si>
  <si>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</si>
  <si>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</si>
  <si>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</si>
  <si>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</si>
  <si>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</si>
  <si>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</si>
  <si>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</si>
  <si>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</si>
  <si>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</si>
  <si>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</si>
  <si>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</si>
  <si>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</si>
  <si>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</si>
  <si>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</si>
  <si>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</si>
  <si>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</si>
  <si>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</si>
  <si>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</si>
  <si>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</si>
  <si>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</si>
  <si>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</si>
  <si>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</si>
  <si>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</si>
  <si>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</si>
  <si>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</si>
  <si>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</si>
  <si>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</si>
  <si>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</si>
  <si>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</si>
  <si>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</si>
  <si>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</si>
  <si>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</si>
  <si>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</si>
  <si>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</si>
  <si>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</si>
  <si>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</si>
  <si>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</si>
  <si>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</si>
  <si>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</si>
  <si>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</si>
  <si>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</si>
  <si>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</si>
  <si>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</si>
  <si>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</si>
  <si>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</si>
  <si>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</si>
  <si>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</si>
  <si>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</si>
  <si>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</si>
  <si>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</si>
  <si>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</si>
  <si>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</si>
  <si>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</si>
  <si>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</si>
  <si>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</si>
  <si>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</si>
  <si>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</si>
  <si>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</si>
  <si>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</si>
  <si>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</si>
  <si>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</si>
  <si>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</si>
  <si>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</si>
  <si>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</si>
  <si>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</si>
  <si>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F173352</t>
  </si>
  <si>
    <t>KJLTVR411610R01</t>
  </si>
  <si>
    <t>LTVR4</t>
  </si>
  <si>
    <t>2 -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</si>
</sst>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69.8</c:v>
                </c:pt>
                <c:pt idx="2">
                  <c:v>54</c:v>
                </c:pt>
                <c:pt idx="3">
                  <c:v>54</c:v>
                </c:pt>
                <c:pt idx="4">
                  <c:v>48</c:v>
                </c:pt>
                <c:pt idx="6">
                  <c:v>46.2</c:v>
                </c:pt>
                <c:pt idx="7">
                  <c:v>45.1</c:v>
                </c:pt>
                <c:pt idx="8">
                  <c:v>62.2</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65.132412718319557</c:v>
                </c:pt>
              </c:numCache>
            </c:numRef>
          </c:xVal>
          <c:yVal>
            <c:numRef>
              <c:f>'Diagram Data'!$F$25</c:f>
              <c:numCache>
                <c:formatCode>0.00</c:formatCode>
                <c:ptCount val="1"/>
                <c:pt idx="0">
                  <c:v>666.82547055827138</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63.521448137819888</c:v>
                </c:pt>
              </c:numCache>
            </c:numRef>
          </c:xVal>
          <c:yVal>
            <c:numRef>
              <c:f>'Diagram Data'!$F$29</c:f>
              <c:numCache>
                <c:formatCode>0.00</c:formatCode>
                <c:ptCount val="1"/>
                <c:pt idx="0">
                  <c:v>666.82547055827138</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5695232"/>
        <c:axId val="75697152"/>
      </c:scatterChart>
      <c:valAx>
        <c:axId val="756952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97152"/>
        <c:crosses val="autoZero"/>
        <c:crossBetween val="midCat"/>
      </c:valAx>
      <c:valAx>
        <c:axId val="756971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6952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48.704120543158183</c:v>
                </c:pt>
              </c:numCache>
            </c:numRef>
          </c:xVal>
          <c:yVal>
            <c:numRef>
              <c:f>'Diagram Data'!$F$33</c:f>
              <c:numCache>
                <c:formatCode>0.00</c:formatCode>
                <c:ptCount val="1"/>
                <c:pt idx="0">
                  <c:v>344.24404790439507</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748864"/>
        <c:axId val="75750784"/>
      </c:scatterChart>
      <c:valAx>
        <c:axId val="7574886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50784"/>
        <c:crosses val="autoZero"/>
        <c:crossBetween val="midCat"/>
      </c:valAx>
      <c:valAx>
        <c:axId val="7575078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74886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58.070037650750564</c:v>
                </c:pt>
                <c:pt idx="1">
                  <c:v>57.361767899892286</c:v>
                </c:pt>
                <c:pt idx="2">
                  <c:v>56.940535729849294</c:v>
                </c:pt>
                <c:pt idx="3">
                  <c:v>57.246015700662184</c:v>
                </c:pt>
                <c:pt idx="4">
                  <c:v>59.46969926586052</c:v>
                </c:pt>
                <c:pt idx="5">
                  <c:v>62.967000867165808</c:v>
                </c:pt>
                <c:pt idx="6">
                  <c:v>64.968142858719787</c:v>
                </c:pt>
                <c:pt idx="7">
                  <c:v>64.805231447900226</c:v>
                </c:pt>
                <c:pt idx="8">
                  <c:v>63.346485023710635</c:v>
                </c:pt>
                <c:pt idx="9">
                  <c:v>61.63297445033308</c:v>
                </c:pt>
                <c:pt idx="10">
                  <c:v>60.159015930141052</c:v>
                </c:pt>
                <c:pt idx="11">
                  <c:v>58.99056802833455</c:v>
                </c:pt>
                <c:pt idx="12">
                  <c:v>58.070037650750564</c:v>
                </c:pt>
                <c:pt idx="13">
                  <c:v>57.361767899892293</c:v>
                </c:pt>
                <c:pt idx="14">
                  <c:v>56.940535729849287</c:v>
                </c:pt>
                <c:pt idx="15">
                  <c:v>57.246015700662184</c:v>
                </c:pt>
                <c:pt idx="16">
                  <c:v>59.469699265860513</c:v>
                </c:pt>
                <c:pt idx="17">
                  <c:v>62.967000867165808</c:v>
                </c:pt>
                <c:pt idx="18">
                  <c:v>64.968142858719787</c:v>
                </c:pt>
                <c:pt idx="19">
                  <c:v>64.805231447900226</c:v>
                </c:pt>
                <c:pt idx="20">
                  <c:v>63.346485023710628</c:v>
                </c:pt>
                <c:pt idx="21">
                  <c:v>61.63297445033308</c:v>
                </c:pt>
                <c:pt idx="22">
                  <c:v>60.159015930141045</c:v>
                </c:pt>
                <c:pt idx="23">
                  <c:v>58.99056802833455</c:v>
                </c:pt>
                <c:pt idx="24">
                  <c:v>58.070037650750564</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63.19690929454395</c:v>
                </c:pt>
                <c:pt idx="1">
                  <c:v>59.793881087878951</c:v>
                </c:pt>
                <c:pt idx="2">
                  <c:v>53.535057191707025</c:v>
                </c:pt>
                <c:pt idx="3">
                  <c:v>46.097484414576058</c:v>
                </c:pt>
                <c:pt idx="4">
                  <c:v>39.474054375766009</c:v>
                </c:pt>
                <c:pt idx="5">
                  <c:v>35.439509805300048</c:v>
                </c:pt>
                <c:pt idx="6">
                  <c:v>35.07490366266191</c:v>
                </c:pt>
                <c:pt idx="7">
                  <c:v>38.477931869326916</c:v>
                </c:pt>
                <c:pt idx="8">
                  <c:v>44.736755765498827</c:v>
                </c:pt>
                <c:pt idx="9">
                  <c:v>52.174328542629794</c:v>
                </c:pt>
                <c:pt idx="10">
                  <c:v>58.797758581439858</c:v>
                </c:pt>
                <c:pt idx="11">
                  <c:v>62.832303151905819</c:v>
                </c:pt>
                <c:pt idx="12">
                  <c:v>63.19690929454395</c:v>
                </c:pt>
                <c:pt idx="13">
                  <c:v>59.793881087878958</c:v>
                </c:pt>
                <c:pt idx="14">
                  <c:v>53.535057191707018</c:v>
                </c:pt>
                <c:pt idx="15">
                  <c:v>46.097484414576073</c:v>
                </c:pt>
                <c:pt idx="16">
                  <c:v>39.474054375766016</c:v>
                </c:pt>
                <c:pt idx="17">
                  <c:v>35.439509805300048</c:v>
                </c:pt>
                <c:pt idx="18">
                  <c:v>35.07490366266191</c:v>
                </c:pt>
                <c:pt idx="19">
                  <c:v>38.477931869326923</c:v>
                </c:pt>
                <c:pt idx="20">
                  <c:v>44.736755765498842</c:v>
                </c:pt>
                <c:pt idx="21">
                  <c:v>52.174328542629794</c:v>
                </c:pt>
                <c:pt idx="22">
                  <c:v>58.797758581439837</c:v>
                </c:pt>
                <c:pt idx="23">
                  <c:v>62.832303151905819</c:v>
                </c:pt>
                <c:pt idx="24">
                  <c:v>63.19690929454395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95.916049214014336</c:v>
                </c:pt>
              </c:numCache>
            </c:numRef>
          </c:xVal>
          <c:yVal>
            <c:numRef>
              <c:f>'Payload Input'!$J$89</c:f>
              <c:numCache>
                <c:formatCode>General</c:formatCode>
                <c:ptCount val="1"/>
                <c:pt idx="0">
                  <c:v>65.132412718319557</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353.90325906338177</c:v>
                </c:pt>
              </c:numCache>
            </c:numRef>
          </c:xVal>
          <c:yVal>
            <c:numRef>
              <c:f>'Payload Input'!$K$90</c:f>
              <c:numCache>
                <c:formatCode>General</c:formatCode>
                <c:ptCount val="1"/>
                <c:pt idx="0">
                  <c:v>63.521448137819888</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48.704120543158183</c:v>
                </c:pt>
              </c:numCache>
            </c:numRef>
          </c:yVal>
          <c:smooth val="1"/>
        </c:ser>
        <c:dLbls>
          <c:showLegendKey val="0"/>
          <c:showVal val="0"/>
          <c:showCatName val="0"/>
          <c:showSerName val="0"/>
          <c:showPercent val="0"/>
          <c:showBubbleSize val="0"/>
        </c:dLbls>
        <c:axId val="76393856"/>
        <c:axId val="76412416"/>
      </c:scatterChart>
      <c:valAx>
        <c:axId val="7639385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412416"/>
        <c:crosses val="autoZero"/>
        <c:crossBetween val="midCat"/>
      </c:valAx>
      <c:valAx>
        <c:axId val="76412416"/>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39385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79497472"/>
        <c:axId val="79507456"/>
      </c:scatterChart>
      <c:valAx>
        <c:axId val="79497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79507456"/>
        <c:crosses val="autoZero"/>
        <c:crossBetween val="midCat"/>
      </c:valAx>
      <c:valAx>
        <c:axId val="79507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79497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4040</v>
      </c>
      <c r="H4" s="969"/>
    </row>
    <row r="5" spans="1:8" s="83" customFormat="1" ht="15">
      <c r="B5" s="280"/>
      <c r="C5" s="285">
        <f>VLOOKUP('Misc Data'!$B$26,Table1,17)</f>
        <v>0</v>
      </c>
      <c r="F5" s="787" t="s">
        <v>3950</v>
      </c>
      <c r="G5" s="970" t="s">
        <v>4041</v>
      </c>
      <c r="H5" s="974"/>
    </row>
    <row r="6" spans="1:8" s="83" customFormat="1" ht="15">
      <c r="B6" s="280" t="s">
        <v>3936</v>
      </c>
      <c r="C6" s="794" t="str">
        <f>'Misc Data'!C11</f>
        <v>CofG - SI</v>
      </c>
      <c r="F6" s="787" t="s">
        <v>3951</v>
      </c>
      <c r="G6" s="970" t="s">
        <v>4042</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4043</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0.25183090000000002</v>
      </c>
      <c r="F13" s="785" t="s">
        <v>3913</v>
      </c>
      <c r="G13" s="151"/>
      <c r="H13" s="170" t="str">
        <f>'Wrist Load Analysis'!R16</f>
        <v>OK</v>
      </c>
    </row>
    <row r="14" spans="1:8" ht="13.5" thickBot="1">
      <c r="B14" s="163" t="str">
        <f>HLOOKUP(Anal_Payload_Code,Unit_text,5)</f>
        <v>Payload Center Y (m)</v>
      </c>
      <c r="C14" s="965">
        <v>9.2101730000000007E-2</v>
      </c>
      <c r="F14" s="786" t="s">
        <v>3914</v>
      </c>
      <c r="G14" s="70"/>
      <c r="H14" s="443" t="str">
        <f>'Wrist Load Analysis'!R17</f>
        <v>OK</v>
      </c>
    </row>
    <row r="15" spans="1:8">
      <c r="B15" s="163" t="str">
        <f>IF(Axis_Type=1,"--------------------------------",HLOOKUP(Anal_Payload_Code,Unit_text,6))</f>
        <v>Payload Center Z (m)</v>
      </c>
      <c r="C15" s="338">
        <v>0.20984920000000001</v>
      </c>
      <c r="F15" s="444"/>
      <c r="G15" s="169"/>
      <c r="H15" s="169"/>
    </row>
    <row r="16" spans="1:8">
      <c r="A16" s="264"/>
      <c r="B16" s="163" t="str">
        <f>HLOOKUP(Anal_Payload_Code,Unit_text,7)</f>
        <v>Payload Inertia Ix (Kg.m^2)</v>
      </c>
      <c r="C16" s="338">
        <v>8.0399700000000003</v>
      </c>
      <c r="E16" s="264"/>
      <c r="F16" s="5"/>
      <c r="G16" s="151"/>
      <c r="H16" s="151"/>
    </row>
    <row r="17" spans="1:8" ht="13.5" thickBot="1">
      <c r="B17" s="265" t="str">
        <f>HLOOKUP(Anal_Payload_Code,Unit_text,8)</f>
        <v>Payload Inertia Iy (Kg.m^2)</v>
      </c>
      <c r="C17" s="339">
        <v>28.965350000000001</v>
      </c>
      <c r="D17" s="264"/>
      <c r="F17" s="12"/>
      <c r="G17" s="263"/>
      <c r="H17" s="263"/>
    </row>
    <row r="18" spans="1:8" ht="16.149999999999999" customHeight="1" thickBot="1">
      <c r="B18" s="412" t="str">
        <f>IF(Axis_Type=1,"--------------------------------",HLOOKUP(Anal_Payload_Code,Unit_text,9))</f>
        <v>Payload Inertia Iz (Kg.m^2)</v>
      </c>
      <c r="C18" s="548">
        <v>39.285020000000003</v>
      </c>
      <c r="F18" s="780" t="s">
        <v>3956</v>
      </c>
      <c r="G18" s="168"/>
      <c r="H18" s="167"/>
    </row>
    <row r="19" spans="1:8" ht="16.5" thickBot="1">
      <c r="A19" s="264"/>
      <c r="C19" s="192"/>
      <c r="D19" s="192"/>
      <c r="E19" s="264"/>
      <c r="F19" s="789" t="s">
        <v>4037</v>
      </c>
      <c r="G19" s="171"/>
      <c r="H19" s="325">
        <f>'Wrist Load Analysis'!R20</f>
        <v>69.8</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131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54</v>
      </c>
    </row>
    <row r="23" spans="1:8">
      <c r="B23" s="785" t="s">
        <v>3942</v>
      </c>
      <c r="C23" s="336">
        <f>VLOOKUP('Misc Data'!$B$26,Table1,6)</f>
        <v>1225</v>
      </c>
      <c r="D23" s="365">
        <f>'Wrist Load Analysis'!R7</f>
        <v>666.82547055827138</v>
      </c>
      <c r="F23" s="785" t="s">
        <v>3959</v>
      </c>
      <c r="G23" s="380"/>
      <c r="H23" s="442">
        <f>'Wrist Load Analysis'!R23</f>
        <v>54</v>
      </c>
    </row>
    <row r="24" spans="1:8" ht="13.5" thickBot="1">
      <c r="A24" s="264"/>
      <c r="B24" s="785" t="s">
        <v>3943</v>
      </c>
      <c r="C24" s="336">
        <f>VLOOKUP('Misc Data'!$B$26,Table1,7)</f>
        <v>1225</v>
      </c>
      <c r="D24" s="365">
        <f>'Wrist Load Analysis'!R8</f>
        <v>666.82547055827138</v>
      </c>
      <c r="E24" s="264"/>
      <c r="F24" s="786" t="s">
        <v>3960</v>
      </c>
      <c r="G24" s="381"/>
      <c r="H24" s="327">
        <f>IF(Axis_Count=1,"-",'Wrist Load Analysis'!R24)</f>
        <v>48</v>
      </c>
    </row>
    <row r="25" spans="1:8">
      <c r="A25" s="264"/>
      <c r="B25" s="785" t="s">
        <v>3944</v>
      </c>
      <c r="C25" s="336">
        <f>VLOOKUP('Misc Data'!$B$26,Table1,8)</f>
        <v>706</v>
      </c>
      <c r="D25" s="365">
        <f>IF(Axis_Count=1,"-",'Wrist Load Analysis'!R9)</f>
        <v>344.24404790439507</v>
      </c>
      <c r="E25" s="264"/>
      <c r="F25" s="791" t="s">
        <v>3961</v>
      </c>
      <c r="G25" s="172"/>
      <c r="H25" s="363"/>
    </row>
    <row r="26" spans="1:8">
      <c r="A26" s="264"/>
      <c r="B26" s="785" t="s">
        <v>3945</v>
      </c>
      <c r="C26" s="336">
        <f>VLOOKUP('Misc Data'!$B$26,Table1,9)</f>
        <v>141.1</v>
      </c>
      <c r="D26" s="365">
        <f>'Wrist Load Analysis'!R10</f>
        <v>65.132412718319557</v>
      </c>
      <c r="E26" s="264"/>
      <c r="F26" s="785" t="s">
        <v>3958</v>
      </c>
      <c r="G26" s="266"/>
      <c r="H26" s="326">
        <f>'Wrist Load Analysis'!R26</f>
        <v>46.2</v>
      </c>
    </row>
    <row r="27" spans="1:8">
      <c r="A27" s="264"/>
      <c r="B27" s="785" t="s">
        <v>3946</v>
      </c>
      <c r="C27" s="336">
        <f>VLOOKUP('Misc Data'!$B$26,Table1,10)</f>
        <v>141.1</v>
      </c>
      <c r="D27" s="365">
        <f>'Wrist Load Analysis'!R11</f>
        <v>63.521448137819888</v>
      </c>
      <c r="E27" s="264"/>
      <c r="F27" s="785" t="s">
        <v>3959</v>
      </c>
      <c r="G27" s="267"/>
      <c r="H27" s="326">
        <f>'Wrist Load Analysis'!R27</f>
        <v>45.1</v>
      </c>
    </row>
    <row r="28" spans="1:8" ht="13.5" thickBot="1">
      <c r="A28" s="264"/>
      <c r="B28" s="786" t="s">
        <v>3947</v>
      </c>
      <c r="C28" s="544">
        <f>VLOOKUP('Misc Data'!$B$26,Table1,11)</f>
        <v>78.400000000000006</v>
      </c>
      <c r="D28" s="545">
        <f>IF(Axis_Count=1,"-",'Wrist Load Analysis'!R12)</f>
        <v>48.704120543158183</v>
      </c>
      <c r="E28" s="264"/>
      <c r="F28" s="786" t="s">
        <v>3960</v>
      </c>
      <c r="G28" s="268"/>
      <c r="H28" s="327">
        <f>IF(Axis_Count=1,"-",'Wrist Load Analysis'!R28)</f>
        <v>62.2</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R-2000iB/185L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F173352</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KJLTVR411610R01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2 - LLENA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131</v>
      </c>
      <c r="G9" s="355"/>
      <c r="H9" s="345"/>
      <c r="I9" s="345"/>
    </row>
    <row r="10" spans="1:12" ht="13.5">
      <c r="A10" s="345"/>
      <c r="B10" s="353"/>
      <c r="C10" s="356">
        <v>3</v>
      </c>
      <c r="D10" s="354" t="s">
        <v>3756</v>
      </c>
      <c r="E10" s="354" t="str">
        <f>IF($E$22=TRUE,"[m]","[cm]")</f>
        <v>[cm]</v>
      </c>
      <c r="F10" s="357">
        <f>IF(Load_Set_2=FALSE,"-",IF($E$22=TRUE,Load_Set_2/100,Load_Set_2))</f>
        <v>25.183</v>
      </c>
      <c r="G10" s="355"/>
      <c r="H10" s="345"/>
      <c r="I10" s="345"/>
    </row>
    <row r="11" spans="1:12" ht="13.5">
      <c r="A11" s="345"/>
      <c r="B11" s="353"/>
      <c r="C11" s="356">
        <v>4</v>
      </c>
      <c r="D11" s="354" t="s">
        <v>3011</v>
      </c>
      <c r="E11" s="354" t="str">
        <f>IF($E$22=TRUE,"[m]","[cm]")</f>
        <v>[cm]</v>
      </c>
      <c r="F11" s="357">
        <f>IF(Load_Set_3=FALSE,"-",IF($E$22=TRUE,Load_Set_3/100,Load_Set_3))</f>
        <v>9.2100000000000009</v>
      </c>
      <c r="G11" s="355"/>
      <c r="H11" s="345"/>
      <c r="I11" s="345"/>
    </row>
    <row r="12" spans="1:12" ht="13.5">
      <c r="A12" s="345"/>
      <c r="B12" s="447"/>
      <c r="C12" s="356">
        <v>5</v>
      </c>
      <c r="D12" s="354" t="s">
        <v>350</v>
      </c>
      <c r="E12" s="354" t="str">
        <f>IF($E$22=TRUE,"[m]","[cm]")</f>
        <v>[cm]</v>
      </c>
      <c r="F12" s="357">
        <f>IF(Load_Set_4=FALSE,"-",IF($E$22=TRUE,Load_Set_4/100,Load_Set_4))</f>
        <v>20.984999999999999</v>
      </c>
      <c r="G12" s="355"/>
      <c r="H12" s="345"/>
      <c r="I12" s="345"/>
    </row>
    <row r="13" spans="1:12" ht="13.5">
      <c r="A13" s="345"/>
      <c r="B13" s="353"/>
      <c r="C13" s="356">
        <v>6</v>
      </c>
      <c r="D13" s="354" t="s">
        <v>1116</v>
      </c>
      <c r="E13" s="354" t="str">
        <f>IF($E$22=TRUE,"[kgm^2]","[kgfcms^2]")</f>
        <v>[kgfcms^2]</v>
      </c>
      <c r="F13" s="357">
        <f>IF(Load_Set_5=FALSE,"-",IF($E$22=TRUE,Load_Set_5*0.098,Load_Set_5))</f>
        <v>82.040999999999997</v>
      </c>
      <c r="G13" s="355"/>
      <c r="H13" s="345"/>
      <c r="I13" s="345"/>
    </row>
    <row r="14" spans="1:12" ht="13.5">
      <c r="A14" s="345"/>
      <c r="B14" s="353"/>
      <c r="C14" s="356">
        <v>7</v>
      </c>
      <c r="D14" s="354" t="s">
        <v>1847</v>
      </c>
      <c r="E14" s="354" t="str">
        <f>IF($E$22=TRUE,"[kgm^2]","[kgfcms^2]")</f>
        <v>[kgfcms^2]</v>
      </c>
      <c r="F14" s="357">
        <f>IF(Load_Set_6=FALSE,"-",IF($E$22=TRUE,Load_Set_6*0.098,Load_Set_6))</f>
        <v>295.565</v>
      </c>
      <c r="G14" s="355"/>
      <c r="H14" s="345"/>
      <c r="I14" s="345"/>
    </row>
    <row r="15" spans="1:12" ht="13.5">
      <c r="A15" s="345"/>
      <c r="B15" s="353"/>
      <c r="C15" s="356">
        <v>8</v>
      </c>
      <c r="D15" s="354" t="s">
        <v>3012</v>
      </c>
      <c r="E15" s="354" t="str">
        <f>IF($E$22=TRUE,"[kgm^2]","[kgfcms^2]")</f>
        <v>[kgfcms^2]</v>
      </c>
      <c r="F15" s="357">
        <f>IF(Load_Set_7=FALSE,"-",IF($E$22=TRUE,Load_Set_7*0.098,Load_Set_7))</f>
        <v>400.86799999999999</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131</v>
      </c>
      <c r="H6" s="625" t="s">
        <v>2962</v>
      </c>
      <c r="I6" s="551">
        <f>IF((Anal_Payload_Code=1),Anal_Input_1,IF((Anal_Payload_Code=2),Anal_Input_1,0))</f>
        <v>131</v>
      </c>
      <c r="J6" s="551">
        <f>IF((Anal_Payload_Code=1),Anal_Input_1,IF((Anal_Payload_Code=2),Anal_Input_1,0))</f>
        <v>131</v>
      </c>
      <c r="K6" s="551">
        <f>IF((Anal_Payload_Code=1),Anal_Input_1,IF((Anal_Payload_Code=2),Anal_Input_1,0))</f>
        <v>131</v>
      </c>
      <c r="L6" s="7"/>
    </row>
    <row r="7" spans="2:18">
      <c r="B7" s="8" t="s">
        <v>2963</v>
      </c>
      <c r="C7" s="626">
        <f t="shared" ref="C7:C12" si="0">IF(Anal_Robot_Code=10105,J7,IF(Anal_Robot_Code=10112,J7,IF(Anal_Robot_Code=10111,K7,I7)))</f>
        <v>0.25183090000000002</v>
      </c>
      <c r="D7" s="290"/>
      <c r="E7" s="290"/>
      <c r="H7" s="8" t="s">
        <v>2963</v>
      </c>
      <c r="I7" s="551">
        <f>IF((Anal_Payload_Code=1),Anal_Input_2,IF((Anal_Payload_Code=2),Anal_Input_2*0.01,0))</f>
        <v>0.25183090000000002</v>
      </c>
      <c r="J7" s="552">
        <f>(0.007+L9)*SIN(RADIANS(30))+L7*COS(RADIANS(30))</f>
        <v>0.3265165568578986</v>
      </c>
      <c r="K7" s="552">
        <f>(0.01+L9)*SIN(RADIANS(30))+L7*COS(RADIANS(30))</f>
        <v>0.3280165568578986</v>
      </c>
      <c r="L7" s="439">
        <f>IF((Anal_Payload_Code=1),Anal_Input_2,IF((Anal_Payload_Code=2),Anal_Input_2*0.01,0))</f>
        <v>0.25183090000000002</v>
      </c>
    </row>
    <row r="8" spans="2:18">
      <c r="B8" s="8" t="s">
        <v>2964</v>
      </c>
      <c r="C8" s="626">
        <f t="shared" si="0"/>
        <v>9.2101730000000007E-2</v>
      </c>
      <c r="D8" s="290"/>
      <c r="E8" s="290"/>
      <c r="H8" s="8" t="s">
        <v>2964</v>
      </c>
      <c r="I8" s="551">
        <f>IF((Anal_Payload_Code=1),Anal_Input_3,IF((Anal_Payload_Code=2),Anal_Input_3*0.01,0))</f>
        <v>9.2101730000000007E-2</v>
      </c>
      <c r="J8" s="551">
        <f>IF((Anal_Payload_Code=1),Anal_Input_3,IF((Anal_Payload_Code=2),Anal_Input_3*0.01,0))</f>
        <v>9.2101730000000007E-2</v>
      </c>
      <c r="K8" s="551">
        <f>IF((Anal_Payload_Code=1),Anal_Input_3,IF((Anal_Payload_Code=2),Anal_Input_3*0.01,0))</f>
        <v>9.2101730000000007E-2</v>
      </c>
      <c r="L8" s="7"/>
    </row>
    <row r="9" spans="2:18">
      <c r="B9" s="8" t="s">
        <v>840</v>
      </c>
      <c r="C9" s="626">
        <f t="shared" si="0"/>
        <v>0.20984920000000001</v>
      </c>
      <c r="D9" s="290"/>
      <c r="E9" s="290"/>
      <c r="H9" s="8" t="s">
        <v>840</v>
      </c>
      <c r="I9" s="551">
        <f>IF((Anal_Payload_Code=1),Anal_Input_4,IF((Anal_Payload_Code=2),Anal_Input_4*0.01,0))</f>
        <v>0.20984920000000001</v>
      </c>
      <c r="J9" s="552">
        <f>(0.007+L9)*COS(RADIANS(30))-L7*SIN(RADIANS(30))</f>
        <v>6.1881465990332535E-2</v>
      </c>
      <c r="K9" s="552">
        <f>(0.01+L9)*COS(RADIANS(30))-L7*SIN(RADIANS(30))</f>
        <v>6.4479542201685863E-2</v>
      </c>
      <c r="L9" s="439">
        <f>IF((Anal_Payload_Code=1),Anal_Input_4,IF((Anal_Payload_Code=2),Anal_Input_4*0.01,0))</f>
        <v>0.20984920000000001</v>
      </c>
    </row>
    <row r="10" spans="2:18">
      <c r="B10" s="8" t="s">
        <v>2965</v>
      </c>
      <c r="C10" s="626">
        <f t="shared" si="0"/>
        <v>8.0399700000000003</v>
      </c>
      <c r="D10" s="290"/>
      <c r="E10" s="290"/>
      <c r="H10" s="8" t="s">
        <v>2965</v>
      </c>
      <c r="I10" s="551">
        <f>IF((Anal_Payload_Code=1),Anal_Input_5,IF((Anal_Payload_Code=2),Anal_Input_5*0.098,0))</f>
        <v>8.0399700000000003</v>
      </c>
      <c r="J10" s="552">
        <f>L10*(COS(RADIANS(30)))^2+L12*(SIN(RADIANS(30)))^2</f>
        <v>15.8512325</v>
      </c>
      <c r="K10" s="552">
        <f>L10*(COS(RADIANS(30)))^2+L12*(SIN(RADIANS(30)))^2</f>
        <v>15.8512325</v>
      </c>
      <c r="L10" s="439">
        <f>IF((Anal_Payload_Code=1),Anal_Input_5,IF((Anal_Payload_Code=2),Anal_Input_5*0.098,0))</f>
        <v>8.0399700000000003</v>
      </c>
    </row>
    <row r="11" spans="2:18">
      <c r="B11" s="8" t="s">
        <v>2362</v>
      </c>
      <c r="C11" s="626">
        <f t="shared" si="0"/>
        <v>28.965350000000001</v>
      </c>
      <c r="D11" s="290"/>
      <c r="E11" s="290"/>
      <c r="H11" s="8" t="s">
        <v>2362</v>
      </c>
      <c r="I11" s="551">
        <f>IF((Anal_Payload_Code=1),Anal_Input_6,IF((Anal_Payload_Code=2),Anal_Input_6*0.098,0))</f>
        <v>28.965350000000001</v>
      </c>
      <c r="J11" s="551">
        <f>IF((Anal_Payload_Code=1),Anal_Input_6,IF((Anal_Payload_Code=2),Anal_Input_6*0.098,0))</f>
        <v>28.965350000000001</v>
      </c>
      <c r="K11" s="551">
        <f>IF((Anal_Payload_Code=1),Anal_Input_6,IF((Anal_Payload_Code=2),Anal_Input_6*0.098,0))</f>
        <v>28.965350000000001</v>
      </c>
      <c r="L11" s="7"/>
    </row>
    <row r="12" spans="2:18">
      <c r="B12" s="8" t="s">
        <v>2363</v>
      </c>
      <c r="C12" s="626">
        <f t="shared" si="0"/>
        <v>39.285020000000003</v>
      </c>
      <c r="D12" s="290"/>
      <c r="E12" s="290"/>
      <c r="H12" s="8" t="s">
        <v>2363</v>
      </c>
      <c r="I12" s="551">
        <f>IF((Anal_Payload_Code=1),Anal_Input_7,IF((Anal_Payload_Code=2),Anal_Input_7*0.098,0))</f>
        <v>39.285020000000003</v>
      </c>
      <c r="J12" s="552">
        <f>L12*(COS(RADIANS(30)))^2+L10*(SIN(RADIANS(30)))^2</f>
        <v>31.473757500000005</v>
      </c>
      <c r="K12" s="552">
        <f>L12*(COS(RADIANS(30)))^2+L10*(SIN(RADIANS(30)))^2</f>
        <v>31.473757500000005</v>
      </c>
      <c r="L12" s="439">
        <f>IF((Anal_Payload_Code=1),Anal_Input_7,IF((Anal_Payload_Code=2),Anal_Input_7*0.098,0))</f>
        <v>39.285020000000003</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131</v>
      </c>
      <c r="Y18" s="634"/>
    </row>
    <row r="19" spans="2:27" s="625" customFormat="1" ht="15" thickBot="1">
      <c r="B19" s="635"/>
      <c r="C19" s="631" t="s">
        <v>1863</v>
      </c>
      <c r="D19" s="632" t="s">
        <v>1861</v>
      </c>
      <c r="E19" s="633">
        <f t="shared" ref="E19:E24" si="1">C7</f>
        <v>0.25183090000000002</v>
      </c>
      <c r="Y19" s="634"/>
    </row>
    <row r="20" spans="2:27" s="625" customFormat="1" ht="15" thickBot="1">
      <c r="B20" s="636" t="s">
        <v>3276</v>
      </c>
      <c r="C20" s="631" t="s">
        <v>3277</v>
      </c>
      <c r="D20" s="632" t="s">
        <v>1861</v>
      </c>
      <c r="E20" s="633">
        <f t="shared" si="1"/>
        <v>9.2101730000000007E-2</v>
      </c>
      <c r="Y20" s="634"/>
    </row>
    <row r="21" spans="2:27" s="625" customFormat="1" ht="15" thickBot="1">
      <c r="B21" s="637"/>
      <c r="C21" s="631" t="s">
        <v>3278</v>
      </c>
      <c r="D21" s="632" t="s">
        <v>1861</v>
      </c>
      <c r="E21" s="633">
        <f t="shared" si="1"/>
        <v>0.20984920000000001</v>
      </c>
      <c r="Y21" s="634"/>
    </row>
    <row r="22" spans="2:27" s="625" customFormat="1" ht="15" thickBot="1">
      <c r="B22" s="638"/>
      <c r="C22" s="631" t="s">
        <v>3279</v>
      </c>
      <c r="D22" s="632" t="s">
        <v>3280</v>
      </c>
      <c r="E22" s="633">
        <f t="shared" si="1"/>
        <v>8.0399700000000003</v>
      </c>
      <c r="Y22" s="634"/>
      <c r="AA22" s="639"/>
    </row>
    <row r="23" spans="2:27" s="625" customFormat="1" ht="15" thickBot="1">
      <c r="B23" s="636" t="s">
        <v>3281</v>
      </c>
      <c r="C23" s="631" t="s">
        <v>3282</v>
      </c>
      <c r="D23" s="632" t="s">
        <v>3280</v>
      </c>
      <c r="E23" s="633">
        <f t="shared" si="1"/>
        <v>28.965350000000001</v>
      </c>
      <c r="Y23" s="634"/>
    </row>
    <row r="24" spans="2:27" s="625" customFormat="1" ht="15" thickBot="1">
      <c r="B24" s="640"/>
      <c r="C24" s="631" t="s">
        <v>3283</v>
      </c>
      <c r="D24" s="632" t="s">
        <v>3280</v>
      </c>
      <c r="E24" s="633">
        <f t="shared" si="1"/>
        <v>39.285020000000003</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666.82547055827138</v>
      </c>
      <c r="F31" s="643">
        <f>SQRT((SQRT($E$19^2+$E$20^2)+SQRT(($E$27+$E$28*COS($P$31*PI()/180))^2+$E$28^2*SIN($P$31*PI()/180)^2))^2+($E$21+$E$26)^2)</f>
        <v>0.51941538445106039</v>
      </c>
      <c r="H31" s="646" t="s">
        <v>2365</v>
      </c>
      <c r="I31" s="646" t="s">
        <v>19</v>
      </c>
      <c r="N31" s="652" t="s">
        <v>20</v>
      </c>
      <c r="O31" s="641"/>
      <c r="P31" s="633">
        <v>90</v>
      </c>
    </row>
    <row r="32" spans="2:27" s="625" customFormat="1" ht="14.25">
      <c r="B32" s="650" t="s">
        <v>21</v>
      </c>
      <c r="C32" s="649" t="s">
        <v>1618</v>
      </c>
      <c r="D32" s="643" t="s">
        <v>22</v>
      </c>
      <c r="E32" s="651">
        <f>$E$18*9.8*F32</f>
        <v>666.82547055827138</v>
      </c>
      <c r="F32" s="643">
        <f>SQRT((SQRT($E$19^2+$E$20^2)+$E$28*SIN($P$31*PI()/180))^2+($E$21+$E$26)^2)</f>
        <v>0.51941538445106039</v>
      </c>
      <c r="H32" s="646" t="s">
        <v>2366</v>
      </c>
      <c r="I32" s="646" t="s">
        <v>2162</v>
      </c>
      <c r="N32" s="646" t="s">
        <v>2163</v>
      </c>
    </row>
    <row r="33" spans="1:28" s="625" customFormat="1">
      <c r="B33" s="653"/>
      <c r="C33" s="649" t="s">
        <v>270</v>
      </c>
      <c r="D33" s="643" t="s">
        <v>2164</v>
      </c>
      <c r="E33" s="651">
        <f>$E$18*9.8*F33</f>
        <v>344.24404790439507</v>
      </c>
      <c r="F33" s="643">
        <f>SQRT($E$19^2+$E$20^2)</f>
        <v>0.2681446081199525</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65.132412718319557</v>
      </c>
      <c r="F36" s="643">
        <f>$E$18*$F31^2+MAX($E$22:$E$24)</f>
        <v>74.627816750182021</v>
      </c>
      <c r="G36" s="654" t="s">
        <v>2181</v>
      </c>
      <c r="H36" s="655">
        <f>$J$43</f>
        <v>65.132381419475635</v>
      </c>
      <c r="I36" s="655">
        <f>$J$89</f>
        <v>65.132412718319557</v>
      </c>
      <c r="J36" s="643">
        <f>$N$89</f>
        <v>-67.361817858790985</v>
      </c>
      <c r="K36" s="643">
        <f>$B$89</f>
        <v>95.916049214014336</v>
      </c>
    </row>
    <row r="37" spans="1:28" s="625" customFormat="1" ht="14.25">
      <c r="B37" s="650" t="s">
        <v>2182</v>
      </c>
      <c r="C37" s="649" t="s">
        <v>1618</v>
      </c>
      <c r="D37" s="643" t="s">
        <v>2180</v>
      </c>
      <c r="E37" s="651">
        <f>MAX(H37:I37)</f>
        <v>63.521448137819888</v>
      </c>
      <c r="F37" s="643">
        <f>$E$18*$F32^2+MAX($E$22:$E$23)</f>
        <v>64.308146750182019</v>
      </c>
      <c r="G37" s="655">
        <f>IF(E28=0,SQRT((E18*E19^2-E18*E20^2-E22+E23)^2/4+(E18*E19*E20)^2)+(E18*E19^2+E18*E20^2+E22+E23)/2+E18*(E21+E26)^2,"---")</f>
        <v>63.521448137819888</v>
      </c>
      <c r="H37" s="655">
        <f>$K$44</f>
        <v>63.19690929454395</v>
      </c>
      <c r="I37" s="655">
        <f>$K$90</f>
        <v>63.521448137819888</v>
      </c>
      <c r="J37" s="654" t="s">
        <v>2181</v>
      </c>
      <c r="K37" s="654">
        <f>$B$90</f>
        <v>353.90325906338177</v>
      </c>
    </row>
    <row r="38" spans="1:28" s="625" customFormat="1">
      <c r="B38" s="653"/>
      <c r="C38" s="649" t="s">
        <v>270</v>
      </c>
      <c r="D38" s="643" t="s">
        <v>2180</v>
      </c>
      <c r="E38" s="651">
        <f>G38</f>
        <v>48.704120543158183</v>
      </c>
      <c r="F38" s="643">
        <f>$E$18*$F33^2+$E$24</f>
        <v>48.704120543158183</v>
      </c>
      <c r="G38" s="655">
        <f>$E$18*($E$19^2+$E$20^2)+$E$24</f>
        <v>48.704120543158183</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65.132381419475635</v>
      </c>
    </row>
    <row r="44" spans="1:28" s="625" customFormat="1" ht="14.25">
      <c r="B44" s="629" t="s">
        <v>2905</v>
      </c>
      <c r="I44" s="658" t="s">
        <v>2906</v>
      </c>
      <c r="J44" s="643">
        <f>MAX(J46:J70)</f>
        <v>64.968142858719787</v>
      </c>
      <c r="K44" s="643">
        <f>MAX(K46:K70)</f>
        <v>63.19690929454395</v>
      </c>
      <c r="L44" s="659">
        <f>MAX(L46:L70)</f>
        <v>63.19690929454395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0.25183090000000002</v>
      </c>
      <c r="D46" s="643">
        <f t="shared" ref="D46:D70" si="3">$E$19*SIN(B46*PI()/180)+$E$20*COS(B46*PI()/180)</f>
        <v>9.2101730000000007E-2</v>
      </c>
      <c r="E46" s="643">
        <f t="shared" ref="E46:E70" si="4">$E$22*COS(B46*PI()/180)^2+$E$23*SIN(B46*PI()/180)^2</f>
        <v>8.0399700000000003</v>
      </c>
      <c r="F46" s="643">
        <f t="shared" ref="F46:F70" si="5">$E$22*SIN(B46*PI()/180)^2+$E$23*COS(B46*PI()/180)^2</f>
        <v>28.965350000000001</v>
      </c>
      <c r="G46" s="643">
        <f t="shared" ref="G46:G70" si="6">($E$18*(C46+$E$28)^2-$E$18*($E$21+$E$26)^2+$E$24-E46)/2</f>
        <v>6.8146084402481382</v>
      </c>
      <c r="H46" s="643">
        <f t="shared" ref="H46:H70" si="7">$E$18*(C46+$E$28)*($E$21+$E$26)</f>
        <v>14.675507446436681</v>
      </c>
      <c r="I46" s="643">
        <f t="shared" ref="I46:I70" si="8">$E$18*((C46+$E$28)^2+($E$21+$E$26)^2)/2+$E$18*(D46+$E$27)^2+($E$24+E46)/2</f>
        <v>41.889512102910047</v>
      </c>
      <c r="J46" s="643">
        <f>SQRT(G46^2+H46^2)+I46</f>
        <v>58.070037650750564</v>
      </c>
      <c r="K46" s="643">
        <f t="shared" ref="K46:K70" si="9">$E$18*((C46+$E$28)^2+($E$21+$E$26)^2)+F46</f>
        <v>63.19690929454395</v>
      </c>
      <c r="L46" s="670">
        <f t="shared" ref="L46:L70" si="10">$E$18*((D46+$E$28)^2+($E$21+$E$26)^2)+E46</f>
        <v>35.07490366266191</v>
      </c>
      <c r="M46" s="671"/>
      <c r="N46" s="638">
        <f>O53*180/PI()-INT(O53*180/PI()/360)*360</f>
        <v>353.90325906338177</v>
      </c>
      <c r="O46" s="643">
        <f>INDEX($B46:$B72,MATCH(K44,K46:K70,0))</f>
        <v>0</v>
      </c>
      <c r="P46" s="643">
        <f>($E$18*$E$19^2-$E$18*$E$20^2+$E$23-$E$22)/2</f>
        <v>14.061002815941022</v>
      </c>
      <c r="Q46" s="643">
        <f>-$E$18*$E$19*$E$20</f>
        <v>-3.0384220640268671</v>
      </c>
      <c r="R46" s="672" t="s">
        <v>1320</v>
      </c>
      <c r="T46" s="673"/>
      <c r="U46" s="674" t="s">
        <v>1321</v>
      </c>
      <c r="V46" s="675"/>
      <c r="W46" s="675"/>
      <c r="X46" s="675"/>
      <c r="Y46" s="675"/>
      <c r="Z46" s="675"/>
      <c r="AA46" s="675"/>
      <c r="AB46" s="676"/>
    </row>
    <row r="47" spans="1:28" s="625" customFormat="1">
      <c r="A47" s="643">
        <f>A46+1</f>
        <v>1</v>
      </c>
      <c r="B47" s="643">
        <f>B46+15</f>
        <v>15</v>
      </c>
      <c r="C47" s="643">
        <f t="shared" si="2"/>
        <v>0.21941228835672957</v>
      </c>
      <c r="D47" s="643">
        <f t="shared" si="3"/>
        <v>0.15414207271821107</v>
      </c>
      <c r="E47" s="643">
        <f t="shared" si="4"/>
        <v>9.4417046680785912</v>
      </c>
      <c r="F47" s="643">
        <f t="shared" si="5"/>
        <v>27.563615331921412</v>
      </c>
      <c r="G47" s="643">
        <f t="shared" si="6"/>
        <v>5.1130943369156379</v>
      </c>
      <c r="H47" s="643">
        <f t="shared" si="7"/>
        <v>12.786304903881522</v>
      </c>
      <c r="I47" s="643">
        <f t="shared" si="8"/>
        <v>43.591026206242546</v>
      </c>
      <c r="J47" s="643">
        <f t="shared" ref="J47:J70" si="11">SQRT(G47^2+H47^2)+I47</f>
        <v>57.361767899892286</v>
      </c>
      <c r="K47" s="643">
        <f t="shared" si="9"/>
        <v>59.793881087878951</v>
      </c>
      <c r="L47" s="670">
        <f t="shared" si="10"/>
        <v>38.477931869326909</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0.17204109185789862</v>
      </c>
      <c r="D48" s="643">
        <f t="shared" si="3"/>
        <v>0.20567788791249536</v>
      </c>
      <c r="E48" s="643">
        <f t="shared" si="4"/>
        <v>13.271315</v>
      </c>
      <c r="F48" s="643">
        <f t="shared" si="5"/>
        <v>23.734005000000003</v>
      </c>
      <c r="G48" s="643">
        <f t="shared" si="6"/>
        <v>1.9836823888296751</v>
      </c>
      <c r="H48" s="643">
        <f t="shared" si="7"/>
        <v>10.025736812494767</v>
      </c>
      <c r="I48" s="643">
        <f t="shared" si="8"/>
        <v>46.720438154328512</v>
      </c>
      <c r="J48" s="643">
        <f t="shared" si="11"/>
        <v>56.940535729849294</v>
      </c>
      <c r="K48" s="643">
        <f t="shared" si="9"/>
        <v>53.535057191707025</v>
      </c>
      <c r="L48" s="670">
        <f t="shared" si="10"/>
        <v>44.736755765498835</v>
      </c>
      <c r="M48" s="671"/>
      <c r="N48" s="643">
        <v>1</v>
      </c>
      <c r="O48" s="643">
        <f>O46*PI()/180</f>
        <v>0</v>
      </c>
      <c r="P48" s="643">
        <f t="shared" ref="P48:P53" si="14">-2*$P$46*SIN(2*O48)+2*$Q$46*COS(2*O48)+2*$E$18*$E$28*(-$E$19*SIN(O48)-$E$20*COS(O48))</f>
        <v>-6.0768441280537342</v>
      </c>
      <c r="Q48" s="643">
        <f t="shared" ref="Q48:Q53" si="15">-4*$P$46*COS(2*O48)-4*$Q$46*SIN(2*O48)+2*$E$18*$E$28*(-$E$19*COS(O48)+$E$20*SIN(O48))</f>
        <v>-56.244011263764087</v>
      </c>
      <c r="R48" s="643">
        <f t="shared" ref="R48:R53" si="16">IF(Q48=0,O48,O48-P48/Q48)</f>
        <v>-0.10804428758744698</v>
      </c>
      <c r="T48" s="673"/>
      <c r="U48" s="674" t="s">
        <v>2383</v>
      </c>
      <c r="V48" s="675"/>
      <c r="W48" s="675"/>
      <c r="X48" s="675"/>
      <c r="Y48" s="675"/>
      <c r="Z48" s="675"/>
      <c r="AA48" s="675"/>
      <c r="AB48" s="676"/>
    </row>
    <row r="49" spans="1:28" s="625" customFormat="1">
      <c r="A49" s="643">
        <f t="shared" si="12"/>
        <v>3</v>
      </c>
      <c r="B49" s="643">
        <f t="shared" si="13"/>
        <v>45</v>
      </c>
      <c r="C49" s="643">
        <f t="shared" si="2"/>
        <v>0.11294557926029887</v>
      </c>
      <c r="D49" s="643">
        <f t="shared" si="3"/>
        <v>0.24319709494432382</v>
      </c>
      <c r="E49" s="643">
        <f t="shared" si="4"/>
        <v>18.502659999999999</v>
      </c>
      <c r="F49" s="643">
        <f t="shared" si="5"/>
        <v>18.502660000000002</v>
      </c>
      <c r="G49" s="643">
        <f t="shared" si="6"/>
        <v>-1.7351039997358058</v>
      </c>
      <c r="H49" s="643">
        <f t="shared" si="7"/>
        <v>6.5819313256499514</v>
      </c>
      <c r="I49" s="643">
        <f t="shared" si="8"/>
        <v>50.439224542893989</v>
      </c>
      <c r="J49" s="643">
        <f t="shared" si="11"/>
        <v>57.246015700662184</v>
      </c>
      <c r="K49" s="643">
        <f t="shared" si="9"/>
        <v>46.097484414576058</v>
      </c>
      <c r="L49" s="670">
        <f t="shared" si="10"/>
        <v>52.174328542629794</v>
      </c>
      <c r="M49" s="671"/>
      <c r="N49" s="643">
        <f>N48+1</f>
        <v>2</v>
      </c>
      <c r="O49" s="643">
        <f>R48</f>
        <v>-0.10804428758744698</v>
      </c>
      <c r="P49" s="643">
        <f t="shared" si="14"/>
        <v>9.4143684818559059E-2</v>
      </c>
      <c r="Q49" s="643">
        <f t="shared" si="15"/>
        <v>-57.541858582526693</v>
      </c>
      <c r="R49" s="643">
        <f t="shared" si="16"/>
        <v>-0.10640819714585066</v>
      </c>
      <c r="T49" s="673"/>
      <c r="U49" s="674" t="s">
        <v>2384</v>
      </c>
      <c r="V49" s="675"/>
      <c r="W49" s="675"/>
      <c r="X49" s="675" t="s">
        <v>2385</v>
      </c>
      <c r="Y49" s="675"/>
      <c r="Z49" s="675"/>
      <c r="AA49" s="675"/>
      <c r="AB49" s="676"/>
    </row>
    <row r="50" spans="1:28" s="625" customFormat="1">
      <c r="A50" s="643">
        <f t="shared" si="12"/>
        <v>4</v>
      </c>
      <c r="B50" s="643">
        <f t="shared" si="13"/>
        <v>60</v>
      </c>
      <c r="C50" s="643">
        <f t="shared" si="2"/>
        <v>4.6153012087504691E-2</v>
      </c>
      <c r="D50" s="643">
        <f t="shared" si="3"/>
        <v>0.26414282185789861</v>
      </c>
      <c r="E50" s="643">
        <f t="shared" si="4"/>
        <v>23.734004999999996</v>
      </c>
      <c r="F50" s="643">
        <f t="shared" si="5"/>
        <v>13.271315000000003</v>
      </c>
      <c r="G50" s="643">
        <f t="shared" si="6"/>
        <v>-5.0468190191408322</v>
      </c>
      <c r="H50" s="643">
        <f t="shared" si="7"/>
        <v>2.6895780961178999</v>
      </c>
      <c r="I50" s="643">
        <f t="shared" si="8"/>
        <v>53.750939562299017</v>
      </c>
      <c r="J50" s="643">
        <f t="shared" si="11"/>
        <v>59.46969926586052</v>
      </c>
      <c r="K50" s="643">
        <f t="shared" si="9"/>
        <v>39.474054375766009</v>
      </c>
      <c r="L50" s="670">
        <f t="shared" si="10"/>
        <v>58.797758581439851</v>
      </c>
      <c r="M50" s="671"/>
      <c r="N50" s="643">
        <f>N49+1</f>
        <v>3</v>
      </c>
      <c r="O50" s="643">
        <f>R49</f>
        <v>-0.10640819714585066</v>
      </c>
      <c r="P50" s="643">
        <f t="shared" si="14"/>
        <v>-3.3600371551756325E-7</v>
      </c>
      <c r="Q50" s="643">
        <f t="shared" si="15"/>
        <v>-57.542166636867826</v>
      </c>
      <c r="R50" s="643">
        <f t="shared" si="16"/>
        <v>-0.10640820298511142</v>
      </c>
      <c r="T50" s="673"/>
      <c r="U50" s="674" t="s">
        <v>2386</v>
      </c>
      <c r="V50" s="675"/>
      <c r="W50" s="675"/>
      <c r="X50" s="675"/>
      <c r="Y50" s="675"/>
      <c r="Z50" s="675" t="s">
        <v>2387</v>
      </c>
      <c r="AA50" s="675"/>
      <c r="AB50" s="676"/>
    </row>
    <row r="51" spans="1:28" s="625" customFormat="1">
      <c r="A51" s="643">
        <f t="shared" si="12"/>
        <v>5</v>
      </c>
      <c r="B51" s="643">
        <f t="shared" si="13"/>
        <v>75</v>
      </c>
      <c r="C51" s="643">
        <f t="shared" si="2"/>
        <v>-2.3784806587594284E-2</v>
      </c>
      <c r="D51" s="643">
        <f t="shared" si="3"/>
        <v>0.26708765197850992</v>
      </c>
      <c r="E51" s="643">
        <f t="shared" si="4"/>
        <v>27.563615331921412</v>
      </c>
      <c r="F51" s="643">
        <f t="shared" si="5"/>
        <v>9.4417046680785912</v>
      </c>
      <c r="G51" s="643">
        <f t="shared" si="6"/>
        <v>-7.0640913043738163</v>
      </c>
      <c r="H51" s="643">
        <f t="shared" si="7"/>
        <v>-1.3860654359266322</v>
      </c>
      <c r="I51" s="643">
        <f t="shared" si="8"/>
        <v>55.768211847532001</v>
      </c>
      <c r="J51" s="643">
        <f t="shared" si="11"/>
        <v>62.967000867165808</v>
      </c>
      <c r="K51" s="643">
        <f t="shared" si="9"/>
        <v>35.439509805300048</v>
      </c>
      <c r="L51" s="670">
        <f t="shared" si="10"/>
        <v>62.832303151905819</v>
      </c>
      <c r="M51" s="671"/>
      <c r="N51" s="643">
        <f>N50+1</f>
        <v>4</v>
      </c>
      <c r="O51" s="643">
        <f>R50</f>
        <v>-0.10640820298511142</v>
      </c>
      <c r="P51" s="643">
        <f t="shared" si="14"/>
        <v>-1.7763568394002505E-15</v>
      </c>
      <c r="Q51" s="643">
        <f t="shared" si="15"/>
        <v>-57.54216663686784</v>
      </c>
      <c r="R51" s="643">
        <f t="shared" si="16"/>
        <v>-0.10640820298511144</v>
      </c>
      <c r="T51" s="679"/>
      <c r="U51" s="680" t="s">
        <v>2388</v>
      </c>
      <c r="V51" s="681"/>
      <c r="W51" s="681"/>
      <c r="X51" s="681"/>
      <c r="Y51" s="681"/>
      <c r="Z51" s="681"/>
      <c r="AA51" s="681"/>
      <c r="AB51" s="682"/>
    </row>
    <row r="52" spans="1:28" s="625" customFormat="1">
      <c r="A52" s="643">
        <f t="shared" si="12"/>
        <v>6</v>
      </c>
      <c r="B52" s="643">
        <f t="shared" si="13"/>
        <v>90</v>
      </c>
      <c r="C52" s="643">
        <f t="shared" si="2"/>
        <v>-9.2101729999999993E-2</v>
      </c>
      <c r="D52" s="643">
        <f t="shared" si="3"/>
        <v>0.25183090000000002</v>
      </c>
      <c r="E52" s="643">
        <f t="shared" si="4"/>
        <v>28.965350000000001</v>
      </c>
      <c r="F52" s="643">
        <f t="shared" si="5"/>
        <v>8.0399700000000003</v>
      </c>
      <c r="G52" s="643">
        <f t="shared" si="6"/>
        <v>-7.2463943756928835</v>
      </c>
      <c r="H52" s="643">
        <f t="shared" si="7"/>
        <v>-5.3672508990941958</v>
      </c>
      <c r="I52" s="643">
        <f t="shared" si="8"/>
        <v>55.95051491885107</v>
      </c>
      <c r="J52" s="643">
        <f t="shared" si="11"/>
        <v>64.968142858719787</v>
      </c>
      <c r="K52" s="643">
        <f t="shared" si="9"/>
        <v>35.07490366266191</v>
      </c>
      <c r="L52" s="670">
        <f t="shared" si="10"/>
        <v>63.19690929454395</v>
      </c>
      <c r="M52" s="671"/>
      <c r="N52" s="643">
        <f>N51+1</f>
        <v>5</v>
      </c>
      <c r="O52" s="643">
        <f>R51</f>
        <v>-0.10640820298511144</v>
      </c>
      <c r="P52" s="643">
        <f t="shared" si="14"/>
        <v>8.8817841970012523E-16</v>
      </c>
      <c r="Q52" s="643">
        <f t="shared" si="15"/>
        <v>-57.54216663686784</v>
      </c>
      <c r="R52" s="643">
        <f t="shared" si="16"/>
        <v>-0.10640820298511143</v>
      </c>
      <c r="T52" s="666" t="s">
        <v>2055</v>
      </c>
      <c r="U52" s="667" t="s">
        <v>2056</v>
      </c>
      <c r="V52" s="668"/>
      <c r="W52" s="668"/>
      <c r="X52" s="668"/>
      <c r="Y52" s="668"/>
      <c r="Z52" s="668"/>
      <c r="AA52" s="668"/>
      <c r="AB52" s="669"/>
    </row>
    <row r="53" spans="1:28" s="625" customFormat="1">
      <c r="A53" s="643">
        <f t="shared" si="12"/>
        <v>7</v>
      </c>
      <c r="B53" s="643">
        <f t="shared" si="13"/>
        <v>105</v>
      </c>
      <c r="C53" s="643">
        <f t="shared" si="2"/>
        <v>-0.15414207271821112</v>
      </c>
      <c r="D53" s="643">
        <f t="shared" si="3"/>
        <v>0.21941228835672957</v>
      </c>
      <c r="E53" s="643">
        <f t="shared" si="4"/>
        <v>27.563615331921412</v>
      </c>
      <c r="F53" s="643">
        <f t="shared" si="5"/>
        <v>9.441704668078593</v>
      </c>
      <c r="G53" s="643">
        <f t="shared" si="6"/>
        <v>-5.5448802723603805</v>
      </c>
      <c r="H53" s="643">
        <f t="shared" si="7"/>
        <v>-8.982667083289984</v>
      </c>
      <c r="I53" s="643">
        <f t="shared" si="8"/>
        <v>54.249000815518571</v>
      </c>
      <c r="J53" s="643">
        <f t="shared" si="11"/>
        <v>64.805231447900226</v>
      </c>
      <c r="K53" s="643">
        <f t="shared" si="9"/>
        <v>38.477931869326916</v>
      </c>
      <c r="L53" s="670">
        <f t="shared" si="10"/>
        <v>59.793881087878951</v>
      </c>
      <c r="M53" s="671"/>
      <c r="N53" s="643">
        <f>N52+1</f>
        <v>6</v>
      </c>
      <c r="O53" s="643">
        <f>R52</f>
        <v>-0.10640820298511143</v>
      </c>
      <c r="P53" s="643">
        <f t="shared" si="14"/>
        <v>0</v>
      </c>
      <c r="Q53" s="643">
        <f t="shared" si="15"/>
        <v>-57.54216663686784</v>
      </c>
      <c r="R53" s="643">
        <f t="shared" si="16"/>
        <v>-0.10640820298511143</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-0.20567788791249531</v>
      </c>
      <c r="D54" s="643">
        <f t="shared" si="3"/>
        <v>0.17204109185789862</v>
      </c>
      <c r="E54" s="643">
        <f t="shared" si="4"/>
        <v>23.734005000000003</v>
      </c>
      <c r="F54" s="643">
        <f t="shared" si="5"/>
        <v>13.271314999999994</v>
      </c>
      <c r="G54" s="643">
        <f t="shared" si="6"/>
        <v>-2.415468324274423</v>
      </c>
      <c r="H54" s="643">
        <f t="shared" si="7"/>
        <v>-11.985929350318781</v>
      </c>
      <c r="I54" s="643">
        <f t="shared" si="8"/>
        <v>51.119588867432611</v>
      </c>
      <c r="J54" s="643">
        <f t="shared" si="11"/>
        <v>63.346485023710635</v>
      </c>
      <c r="K54" s="643">
        <f t="shared" si="9"/>
        <v>44.736755765498827</v>
      </c>
      <c r="L54" s="670">
        <f t="shared" si="10"/>
        <v>53.535057191707025</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-0.24319709494432382</v>
      </c>
      <c r="D55" s="643">
        <f t="shared" si="3"/>
        <v>0.11294557926029887</v>
      </c>
      <c r="E55" s="643">
        <f t="shared" si="4"/>
        <v>18.502660000000002</v>
      </c>
      <c r="F55" s="643">
        <f t="shared" si="5"/>
        <v>18.502659999999999</v>
      </c>
      <c r="G55" s="643">
        <f t="shared" si="6"/>
        <v>1.3033180642910605</v>
      </c>
      <c r="H55" s="643">
        <f t="shared" si="7"/>
        <v>-14.17237033980815</v>
      </c>
      <c r="I55" s="643">
        <f t="shared" si="8"/>
        <v>47.400802478867121</v>
      </c>
      <c r="J55" s="643">
        <f t="shared" si="11"/>
        <v>61.63297445033308</v>
      </c>
      <c r="K55" s="643">
        <f t="shared" si="9"/>
        <v>52.174328542629794</v>
      </c>
      <c r="L55" s="670">
        <f t="shared" si="10"/>
        <v>46.097484414576058</v>
      </c>
      <c r="M55" s="671"/>
      <c r="T55" s="673"/>
      <c r="U55" s="674" t="s">
        <v>2062</v>
      </c>
      <c r="V55" s="675"/>
      <c r="W55" s="675"/>
      <c r="X55" s="675"/>
      <c r="Y55" s="675"/>
      <c r="Z55" s="675"/>
      <c r="AA55" s="675"/>
      <c r="AB55" s="676"/>
    </row>
    <row r="56" spans="1:28" s="625" customFormat="1">
      <c r="A56" s="643">
        <f t="shared" si="12"/>
        <v>10</v>
      </c>
      <c r="B56" s="643">
        <f t="shared" si="13"/>
        <v>150</v>
      </c>
      <c r="C56" s="643">
        <f t="shared" si="2"/>
        <v>-0.26414282185789861</v>
      </c>
      <c r="D56" s="643">
        <f t="shared" si="3"/>
        <v>4.6153012087504622E-2</v>
      </c>
      <c r="E56" s="643">
        <f t="shared" si="4"/>
        <v>13.271315</v>
      </c>
      <c r="F56" s="643">
        <f t="shared" si="5"/>
        <v>23.734005000000003</v>
      </c>
      <c r="G56" s="643">
        <f t="shared" si="6"/>
        <v>4.6150330836960913</v>
      </c>
      <c r="H56" s="643">
        <f t="shared" si="7"/>
        <v>-15.39298771158896</v>
      </c>
      <c r="I56" s="643">
        <f t="shared" si="8"/>
        <v>44.089087459462093</v>
      </c>
      <c r="J56" s="643">
        <f>SQRT(G56^2+H56^2)+I56</f>
        <v>60.159015930141052</v>
      </c>
      <c r="K56" s="643">
        <f t="shared" si="9"/>
        <v>58.797758581439858</v>
      </c>
      <c r="L56" s="670">
        <f t="shared" si="10"/>
        <v>39.474054375766002</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-0.26708765197850992</v>
      </c>
      <c r="D57" s="643">
        <f t="shared" si="3"/>
        <v>-2.3784806587594201E-2</v>
      </c>
      <c r="E57" s="643">
        <f t="shared" si="4"/>
        <v>9.4417046680785948</v>
      </c>
      <c r="F57" s="643">
        <f t="shared" si="5"/>
        <v>27.563615331921408</v>
      </c>
      <c r="G57" s="643">
        <f t="shared" si="6"/>
        <v>6.6323053689290683</v>
      </c>
      <c r="H57" s="643">
        <f t="shared" si="7"/>
        <v>-15.564598408939929</v>
      </c>
      <c r="I57" s="643">
        <f t="shared" si="8"/>
        <v>42.071815174229116</v>
      </c>
      <c r="J57" s="643">
        <f t="shared" si="11"/>
        <v>58.99056802833455</v>
      </c>
      <c r="K57" s="643">
        <f t="shared" si="9"/>
        <v>62.832303151905819</v>
      </c>
      <c r="L57" s="670">
        <f t="shared" si="10"/>
        <v>35.439509805300048</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-0.25183090000000002</v>
      </c>
      <c r="D58" s="643">
        <f t="shared" si="3"/>
        <v>-9.2101729999999979E-2</v>
      </c>
      <c r="E58" s="643">
        <f t="shared" si="4"/>
        <v>8.0399700000000003</v>
      </c>
      <c r="F58" s="643">
        <f t="shared" si="5"/>
        <v>28.965350000000001</v>
      </c>
      <c r="G58" s="643">
        <f t="shared" si="6"/>
        <v>6.8146084402481382</v>
      </c>
      <c r="H58" s="643">
        <f t="shared" si="7"/>
        <v>-14.675507446436681</v>
      </c>
      <c r="I58" s="643">
        <f t="shared" si="8"/>
        <v>41.889512102910047</v>
      </c>
      <c r="J58" s="643">
        <f t="shared" si="11"/>
        <v>58.070037650750564</v>
      </c>
      <c r="K58" s="643">
        <f t="shared" si="9"/>
        <v>63.19690929454395</v>
      </c>
      <c r="L58" s="670">
        <f t="shared" si="10"/>
        <v>35.07490366266191</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-0.21941228835672963</v>
      </c>
      <c r="D59" s="643">
        <f t="shared" si="3"/>
        <v>-0.15414207271821098</v>
      </c>
      <c r="E59" s="643">
        <f t="shared" si="4"/>
        <v>9.4417046680785877</v>
      </c>
      <c r="F59" s="643">
        <f t="shared" si="5"/>
        <v>27.563615331921415</v>
      </c>
      <c r="G59" s="643">
        <f t="shared" si="6"/>
        <v>5.1130943369156414</v>
      </c>
      <c r="H59" s="643">
        <f t="shared" si="7"/>
        <v>-12.786304903881526</v>
      </c>
      <c r="I59" s="643">
        <f t="shared" si="8"/>
        <v>43.591026206242546</v>
      </c>
      <c r="J59" s="643">
        <f t="shared" si="11"/>
        <v>57.361767899892293</v>
      </c>
      <c r="K59" s="643">
        <f t="shared" si="9"/>
        <v>59.793881087878958</v>
      </c>
      <c r="L59" s="670">
        <f t="shared" si="10"/>
        <v>38.477931869326902</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-0.17204109185789856</v>
      </c>
      <c r="D60" s="643">
        <f t="shared" si="3"/>
        <v>-0.20567788791249539</v>
      </c>
      <c r="E60" s="643">
        <f t="shared" si="4"/>
        <v>13.271315000000003</v>
      </c>
      <c r="F60" s="643">
        <f t="shared" si="5"/>
        <v>23.734004999999996</v>
      </c>
      <c r="G60" s="643">
        <f t="shared" si="6"/>
        <v>1.9836823888296733</v>
      </c>
      <c r="H60" s="643">
        <f t="shared" si="7"/>
        <v>-10.025736812494761</v>
      </c>
      <c r="I60" s="643">
        <f t="shared" si="8"/>
        <v>46.720438154328512</v>
      </c>
      <c r="J60" s="643">
        <f t="shared" si="11"/>
        <v>56.940535729849287</v>
      </c>
      <c r="K60" s="643">
        <f t="shared" si="9"/>
        <v>53.535057191707018</v>
      </c>
      <c r="L60" s="670">
        <f t="shared" si="10"/>
        <v>44.736755765498842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-0.1129455792602989</v>
      </c>
      <c r="D61" s="643">
        <f t="shared" si="3"/>
        <v>-0.24319709494432382</v>
      </c>
      <c r="E61" s="643">
        <f t="shared" si="4"/>
        <v>18.502659999999999</v>
      </c>
      <c r="F61" s="643">
        <f t="shared" si="5"/>
        <v>18.502660000000006</v>
      </c>
      <c r="G61" s="643">
        <f t="shared" si="6"/>
        <v>-1.735103999735804</v>
      </c>
      <c r="H61" s="643">
        <f t="shared" si="7"/>
        <v>-6.5819313256499532</v>
      </c>
      <c r="I61" s="643">
        <f t="shared" si="8"/>
        <v>50.439224542893989</v>
      </c>
      <c r="J61" s="643">
        <f t="shared" si="11"/>
        <v>57.246015700662184</v>
      </c>
      <c r="K61" s="643">
        <f t="shared" si="9"/>
        <v>46.097484414576073</v>
      </c>
      <c r="L61" s="670">
        <f t="shared" si="10"/>
        <v>52.174328542629794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-4.6153012087504802E-2</v>
      </c>
      <c r="D62" s="643">
        <f t="shared" si="3"/>
        <v>-0.26414282185789856</v>
      </c>
      <c r="E62" s="643">
        <f t="shared" si="4"/>
        <v>23.734004999999989</v>
      </c>
      <c r="F62" s="643">
        <f t="shared" si="5"/>
        <v>13.271315000000008</v>
      </c>
      <c r="G62" s="643">
        <f t="shared" si="6"/>
        <v>-5.0468190191408286</v>
      </c>
      <c r="H62" s="643">
        <f t="shared" si="7"/>
        <v>-2.6895780961179061</v>
      </c>
      <c r="I62" s="643">
        <f t="shared" si="8"/>
        <v>53.75093956229901</v>
      </c>
      <c r="J62" s="643">
        <f t="shared" si="11"/>
        <v>59.469699265860513</v>
      </c>
      <c r="K62" s="643">
        <f t="shared" si="9"/>
        <v>39.474054375766016</v>
      </c>
      <c r="L62" s="670">
        <f t="shared" si="10"/>
        <v>58.797758581439837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2.3784806587594312E-2</v>
      </c>
      <c r="D63" s="643">
        <f t="shared" si="3"/>
        <v>-0.26708765197850992</v>
      </c>
      <c r="E63" s="643">
        <f t="shared" si="4"/>
        <v>27.563615331921412</v>
      </c>
      <c r="F63" s="643">
        <f t="shared" si="5"/>
        <v>9.4417046680785894</v>
      </c>
      <c r="G63" s="643">
        <f t="shared" si="6"/>
        <v>-7.0640913043738163</v>
      </c>
      <c r="H63" s="643">
        <f t="shared" si="7"/>
        <v>1.386065435926634</v>
      </c>
      <c r="I63" s="643">
        <f t="shared" si="8"/>
        <v>55.768211847532001</v>
      </c>
      <c r="J63" s="643">
        <f t="shared" si="11"/>
        <v>62.967000867165808</v>
      </c>
      <c r="K63" s="643">
        <f t="shared" si="9"/>
        <v>35.439509805300048</v>
      </c>
      <c r="L63" s="670">
        <f t="shared" si="10"/>
        <v>62.832303151905819</v>
      </c>
      <c r="M63" s="671"/>
      <c r="N63" s="638">
        <f>O70*180/PI()-INT(O70*180/PI()/360)*360</f>
        <v>95.916049214014336</v>
      </c>
      <c r="O63" s="638">
        <f>INDEX($B73:$B85,MATCH($J$43,$J$73:$J$85,0))</f>
        <v>96</v>
      </c>
      <c r="P63" s="653"/>
      <c r="Q63" s="687"/>
      <c r="R63" s="687"/>
      <c r="S63" s="687"/>
      <c r="V63" s="687"/>
      <c r="W63" s="687"/>
      <c r="X63" s="687"/>
      <c r="Y63" s="687"/>
      <c r="Z63" s="687"/>
      <c r="AA63" s="687"/>
      <c r="AB63" s="688"/>
    </row>
    <row r="64" spans="1:28" s="625" customFormat="1">
      <c r="A64" s="643">
        <f t="shared" si="12"/>
        <v>18</v>
      </c>
      <c r="B64" s="643">
        <f t="shared" si="13"/>
        <v>270</v>
      </c>
      <c r="C64" s="643">
        <f t="shared" si="2"/>
        <v>9.2101729999999965E-2</v>
      </c>
      <c r="D64" s="643">
        <f t="shared" si="3"/>
        <v>-0.25183090000000002</v>
      </c>
      <c r="E64" s="643">
        <f t="shared" si="4"/>
        <v>28.965350000000001</v>
      </c>
      <c r="F64" s="643">
        <f t="shared" si="5"/>
        <v>8.0399700000000003</v>
      </c>
      <c r="G64" s="643">
        <f t="shared" si="6"/>
        <v>-7.2463943756928835</v>
      </c>
      <c r="H64" s="643">
        <f t="shared" si="7"/>
        <v>5.3672508990941941</v>
      </c>
      <c r="I64" s="643">
        <f t="shared" si="8"/>
        <v>55.95051491885107</v>
      </c>
      <c r="J64" s="643">
        <f t="shared" si="11"/>
        <v>64.968142858719787</v>
      </c>
      <c r="K64" s="643">
        <f t="shared" si="9"/>
        <v>35.07490366266191</v>
      </c>
      <c r="L64" s="670">
        <f t="shared" si="10"/>
        <v>63.19690929454395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0.15414207271821118</v>
      </c>
      <c r="D65" s="643">
        <f t="shared" si="3"/>
        <v>-0.21941228835672952</v>
      </c>
      <c r="E65" s="643">
        <f t="shared" si="4"/>
        <v>27.563615331921408</v>
      </c>
      <c r="F65" s="643">
        <f t="shared" si="5"/>
        <v>9.4417046680785965</v>
      </c>
      <c r="G65" s="643">
        <f t="shared" si="6"/>
        <v>-5.5448802723603787</v>
      </c>
      <c r="H65" s="643">
        <f t="shared" si="7"/>
        <v>8.9826670832899858</v>
      </c>
      <c r="I65" s="643">
        <f t="shared" si="8"/>
        <v>54.249000815518571</v>
      </c>
      <c r="J65" s="643">
        <f t="shared" si="11"/>
        <v>64.805231447900226</v>
      </c>
      <c r="K65" s="643">
        <f t="shared" si="9"/>
        <v>38.477931869326923</v>
      </c>
      <c r="L65" s="670">
        <f t="shared" si="10"/>
        <v>59.793881087878944</v>
      </c>
      <c r="M65" s="671"/>
      <c r="N65" s="643">
        <v>1</v>
      </c>
      <c r="O65" s="643">
        <f>O63*PI()/180</f>
        <v>1.6755160819145563</v>
      </c>
      <c r="P65" s="643">
        <f t="shared" ref="P65:P70" si="17">SIN(O65)</f>
        <v>0.9945218953682734</v>
      </c>
      <c r="Q65" s="643">
        <f t="shared" ref="Q65:Q70" si="18">COS(O65)</f>
        <v>-0.10452846326765333</v>
      </c>
      <c r="R65" s="643">
        <f t="shared" ref="R65:R70" si="19">($E$18*($E$19*Q65-$E$20*P65+$E$28)^2-$E$18*($E$21+$E$26)^2+$E$24-$E$22*Q65^2-$E$23*P65^2)/2</f>
        <v>-6.7768993175094661</v>
      </c>
      <c r="S65" s="643">
        <f t="shared" ref="S65:S70" si="20">$E$18*($E$19*Q65-$E$20*P65+$E$28)*(-$E$19*P65-$E$20*Q65)-($E$23-$E$22)*P65*Q65</f>
        <v>5.8954721220001076</v>
      </c>
      <c r="T65" s="643">
        <f t="shared" ref="T65:T70" si="21">$E$18*(-$E$19*P65-$E$20*Q65)^2+$E$18*($E$19*Q65-$E$20*P65+$E$28)*(-$E$19*Q65+$E$20*P65)-($E$23-$E$22)*(Q65^2-P65^2)</f>
        <v>26.244025399148374</v>
      </c>
      <c r="U65" s="643">
        <f t="shared" ref="U65:U70" si="22">$E$18*($E$19*Q65-$E$20*P65+$E$28)*($E$21+$E$26)</f>
        <v>-6.8718567781332593</v>
      </c>
      <c r="V65" s="643">
        <f t="shared" ref="V65:V70" si="23">$E$18*($E$21+$E$26)*(-$E$19*P65-$E$20*Q65)</f>
        <v>-14.034082992667173</v>
      </c>
      <c r="W65" s="643">
        <f t="shared" ref="W65:W70" si="24">$E$18*($E$21+$E$26)*(-$E$19*Q65+$E$20*P65)</f>
        <v>6.8718567781332602</v>
      </c>
      <c r="X65" s="643">
        <f t="shared" ref="X65:X70" si="25">S65+2*($E$23-$E$22)*P65*Q65+2*$E$18*($E$19*P65+$E$20*Q65+$E$27)*($E$19*Q65-$E$20*P65)</f>
        <v>-5.8954721220001094</v>
      </c>
      <c r="Y65" s="643">
        <f t="shared" ref="Y65:Y70" si="26">T65+2*($E$23-$E$22)*(Q65^2-P65^2)+2*$E$18*($E$19*Q65-$E$20*P65)^2+2*$E$18*($E$19*P65+$E$20*Q65+$E$27)*(-$E$19*P65-$E$20*Q65)</f>
        <v>-26.244025399148377</v>
      </c>
      <c r="Z65" s="643">
        <f t="shared" ref="Z65:Z70" si="27">IF(OR(R65,U65),(R65^2+U65^2)^(-0.5)*(R65*S65+U65*V65)+X65,0)</f>
        <v>-4.2703370785421413E-2</v>
      </c>
      <c r="AA65" s="643">
        <f t="shared" ref="AA65:AA70" si="28">IF(OR(R65,U65),(-1)*(R65^2+U65^2)^(-1.5)*(R65*S65+U65*V65)^2+(R65^2+U65^2)^(-0.5)*(S65^2+R65*T65+V65^2+U65*W65)+Y65,0)</f>
        <v>-29.105627702193953</v>
      </c>
      <c r="AB65" s="643">
        <f t="shared" ref="AB65:AB70" si="29">IF(AA65=0,O65,O65-Z65/AA65)</f>
        <v>1.6740488958699069</v>
      </c>
    </row>
    <row r="66" spans="1:28" s="625" customFormat="1">
      <c r="A66" s="643">
        <f t="shared" si="12"/>
        <v>20</v>
      </c>
      <c r="B66" s="643">
        <f t="shared" si="13"/>
        <v>300</v>
      </c>
      <c r="C66" s="643">
        <f t="shared" si="2"/>
        <v>0.20567788791249539</v>
      </c>
      <c r="D66" s="643">
        <f t="shared" si="3"/>
        <v>-0.17204109185789856</v>
      </c>
      <c r="E66" s="643">
        <f t="shared" si="4"/>
        <v>23.734004999999996</v>
      </c>
      <c r="F66" s="643">
        <f t="shared" si="5"/>
        <v>13.271315000000003</v>
      </c>
      <c r="G66" s="643">
        <f t="shared" si="6"/>
        <v>-2.4154683242744177</v>
      </c>
      <c r="H66" s="643">
        <f t="shared" si="7"/>
        <v>11.985929350318786</v>
      </c>
      <c r="I66" s="643">
        <f t="shared" si="8"/>
        <v>51.119588867432597</v>
      </c>
      <c r="J66" s="643">
        <f t="shared" si="11"/>
        <v>63.346485023710628</v>
      </c>
      <c r="K66" s="643">
        <f t="shared" si="9"/>
        <v>44.736755765498842</v>
      </c>
      <c r="L66" s="670">
        <f t="shared" si="10"/>
        <v>53.535057191707018</v>
      </c>
      <c r="M66" s="671"/>
      <c r="N66" s="643">
        <f>N65+1</f>
        <v>2</v>
      </c>
      <c r="O66" s="643">
        <f>AB65</f>
        <v>1.6740488958699069</v>
      </c>
      <c r="P66" s="643">
        <f t="shared" si="17"/>
        <v>0.99467418759475279</v>
      </c>
      <c r="Q66" s="643">
        <f t="shared" si="18"/>
        <v>-0.10306920263938479</v>
      </c>
      <c r="R66" s="643">
        <f t="shared" si="19"/>
        <v>-6.7855208126382207</v>
      </c>
      <c r="S66" s="643">
        <f t="shared" si="20"/>
        <v>5.8569419278572301</v>
      </c>
      <c r="T66" s="643">
        <f t="shared" si="21"/>
        <v>26.278511379663396</v>
      </c>
      <c r="U66" s="643">
        <f t="shared" si="22"/>
        <v>-6.8512587785063097</v>
      </c>
      <c r="V66" s="643">
        <f t="shared" si="23"/>
        <v>-14.044150176289993</v>
      </c>
      <c r="W66" s="643">
        <f t="shared" si="24"/>
        <v>6.8512587785063097</v>
      </c>
      <c r="X66" s="643">
        <f t="shared" si="25"/>
        <v>-5.8569419278572292</v>
      </c>
      <c r="Y66" s="643">
        <f t="shared" si="26"/>
        <v>-26.278511379663396</v>
      </c>
      <c r="Z66" s="643">
        <f t="shared" si="27"/>
        <v>5.7445985866877436E-5</v>
      </c>
      <c r="AA66" s="643">
        <f t="shared" si="28"/>
        <v>-29.183864045773888</v>
      </c>
      <c r="AB66" s="643">
        <f t="shared" si="29"/>
        <v>1.6740508642859391</v>
      </c>
    </row>
    <row r="67" spans="1:28" s="625" customFormat="1">
      <c r="A67" s="643">
        <f t="shared" si="12"/>
        <v>21</v>
      </c>
      <c r="B67" s="643">
        <f t="shared" si="13"/>
        <v>315</v>
      </c>
      <c r="C67" s="643">
        <f t="shared" si="2"/>
        <v>0.24319709494432379</v>
      </c>
      <c r="D67" s="643">
        <f t="shared" si="3"/>
        <v>-0.11294557926029891</v>
      </c>
      <c r="E67" s="643">
        <f t="shared" si="4"/>
        <v>18.502660000000006</v>
      </c>
      <c r="F67" s="643">
        <f t="shared" si="5"/>
        <v>18.502659999999995</v>
      </c>
      <c r="G67" s="643">
        <f t="shared" si="6"/>
        <v>1.3033180642910569</v>
      </c>
      <c r="H67" s="643">
        <f t="shared" si="7"/>
        <v>14.172370339808149</v>
      </c>
      <c r="I67" s="643">
        <f t="shared" si="8"/>
        <v>47.400802478867128</v>
      </c>
      <c r="J67" s="643">
        <f t="shared" si="11"/>
        <v>61.63297445033308</v>
      </c>
      <c r="K67" s="643">
        <f t="shared" si="9"/>
        <v>52.174328542629794</v>
      </c>
      <c r="L67" s="670">
        <f t="shared" si="10"/>
        <v>46.097484414576073</v>
      </c>
      <c r="M67" s="671"/>
      <c r="N67" s="643">
        <f>N66+1</f>
        <v>3</v>
      </c>
      <c r="O67" s="643">
        <f>AB66</f>
        <v>1.6740508642859391</v>
      </c>
      <c r="P67" s="643">
        <f t="shared" si="17"/>
        <v>0.99467398470975488</v>
      </c>
      <c r="Q67" s="643">
        <f t="shared" si="18"/>
        <v>-0.10307116057180277</v>
      </c>
      <c r="R67" s="643">
        <f t="shared" si="19"/>
        <v>-6.7855092836889206</v>
      </c>
      <c r="S67" s="643">
        <f t="shared" si="20"/>
        <v>5.8569936548549428</v>
      </c>
      <c r="T67" s="643">
        <f t="shared" si="21"/>
        <v>26.278465263866195</v>
      </c>
      <c r="U67" s="643">
        <f t="shared" si="22"/>
        <v>-6.8512864232234012</v>
      </c>
      <c r="V67" s="643">
        <f t="shared" si="23"/>
        <v>-14.044136690135163</v>
      </c>
      <c r="W67" s="643">
        <f t="shared" si="24"/>
        <v>6.8512864232234012</v>
      </c>
      <c r="X67" s="643">
        <f t="shared" si="25"/>
        <v>-5.8569936548549437</v>
      </c>
      <c r="Y67" s="643">
        <f t="shared" si="26"/>
        <v>-26.278465263866195</v>
      </c>
      <c r="Z67" s="643">
        <f t="shared" si="27"/>
        <v>1.0301892672259783E-10</v>
      </c>
      <c r="AA67" s="643">
        <f t="shared" si="28"/>
        <v>-29.183759369044832</v>
      </c>
      <c r="AB67" s="643">
        <f t="shared" si="29"/>
        <v>1.6740508642894691</v>
      </c>
    </row>
    <row r="68" spans="1:28" s="625" customFormat="1">
      <c r="A68" s="643">
        <f t="shared" si="12"/>
        <v>22</v>
      </c>
      <c r="B68" s="643">
        <f t="shared" si="13"/>
        <v>330</v>
      </c>
      <c r="C68" s="643">
        <f t="shared" si="2"/>
        <v>0.26414282185789856</v>
      </c>
      <c r="D68" s="643">
        <f t="shared" si="3"/>
        <v>-4.6153012087504802E-2</v>
      </c>
      <c r="E68" s="643">
        <f t="shared" si="4"/>
        <v>13.271315000000008</v>
      </c>
      <c r="F68" s="643">
        <f t="shared" si="5"/>
        <v>23.734004999999989</v>
      </c>
      <c r="G68" s="643">
        <f t="shared" si="6"/>
        <v>4.6150330836960851</v>
      </c>
      <c r="H68" s="643">
        <f t="shared" si="7"/>
        <v>15.392987711588956</v>
      </c>
      <c r="I68" s="643">
        <f t="shared" si="8"/>
        <v>44.089087459462093</v>
      </c>
      <c r="J68" s="643">
        <f t="shared" si="11"/>
        <v>60.159015930141045</v>
      </c>
      <c r="K68" s="643">
        <f t="shared" si="9"/>
        <v>58.797758581439837</v>
      </c>
      <c r="L68" s="670">
        <f t="shared" si="10"/>
        <v>39.474054375766016</v>
      </c>
      <c r="M68" s="671"/>
      <c r="N68" s="643">
        <f>N67+1</f>
        <v>4</v>
      </c>
      <c r="O68" s="643">
        <f>AB67</f>
        <v>1.6740508642894691</v>
      </c>
      <c r="P68" s="643">
        <f t="shared" si="17"/>
        <v>0.99467398470939106</v>
      </c>
      <c r="Q68" s="643">
        <f t="shared" si="18"/>
        <v>-0.10307116057531403</v>
      </c>
      <c r="R68" s="643">
        <f t="shared" si="19"/>
        <v>-6.7855092836682456</v>
      </c>
      <c r="S68" s="643">
        <f t="shared" si="20"/>
        <v>5.8569936549477077</v>
      </c>
      <c r="T68" s="643">
        <f t="shared" si="21"/>
        <v>26.278465263783495</v>
      </c>
      <c r="U68" s="643">
        <f t="shared" si="22"/>
        <v>-6.8512864232729784</v>
      </c>
      <c r="V68" s="643">
        <f t="shared" si="23"/>
        <v>-14.044136690110978</v>
      </c>
      <c r="W68" s="643">
        <f t="shared" si="24"/>
        <v>6.8512864232729775</v>
      </c>
      <c r="X68" s="643">
        <f t="shared" si="25"/>
        <v>-5.8569936549477077</v>
      </c>
      <c r="Y68" s="643">
        <f t="shared" si="26"/>
        <v>-26.278465263783495</v>
      </c>
      <c r="Z68" s="643">
        <f t="shared" si="27"/>
        <v>8.8817841970012523E-16</v>
      </c>
      <c r="AA68" s="643">
        <f t="shared" si="28"/>
        <v>-29.183759368857114</v>
      </c>
      <c r="AB68" s="643">
        <f t="shared" si="29"/>
        <v>1.6740508642894691</v>
      </c>
    </row>
    <row r="69" spans="1:28" s="625" customFormat="1">
      <c r="A69" s="643">
        <f t="shared" si="12"/>
        <v>23</v>
      </c>
      <c r="B69" s="643">
        <f t="shared" si="13"/>
        <v>345</v>
      </c>
      <c r="C69" s="643">
        <f t="shared" si="2"/>
        <v>0.26708765197850992</v>
      </c>
      <c r="D69" s="643">
        <f t="shared" si="3"/>
        <v>2.3784806587594298E-2</v>
      </c>
      <c r="E69" s="643">
        <f t="shared" si="4"/>
        <v>9.4417046680785912</v>
      </c>
      <c r="F69" s="643">
        <f t="shared" si="5"/>
        <v>27.563615331921412</v>
      </c>
      <c r="G69" s="643">
        <f t="shared" si="6"/>
        <v>6.6323053689290701</v>
      </c>
      <c r="H69" s="643">
        <f t="shared" si="7"/>
        <v>15.564598408939929</v>
      </c>
      <c r="I69" s="643">
        <f t="shared" si="8"/>
        <v>42.071815174229116</v>
      </c>
      <c r="J69" s="643">
        <f t="shared" si="11"/>
        <v>58.99056802833455</v>
      </c>
      <c r="K69" s="643">
        <f t="shared" si="9"/>
        <v>62.832303151905819</v>
      </c>
      <c r="L69" s="670">
        <f t="shared" si="10"/>
        <v>35.439509805300048</v>
      </c>
      <c r="M69" s="671"/>
      <c r="N69" s="643">
        <f>N68+1</f>
        <v>5</v>
      </c>
      <c r="O69" s="643">
        <f>AB68</f>
        <v>1.6740508642894691</v>
      </c>
      <c r="P69" s="643">
        <f t="shared" si="17"/>
        <v>0.99467398470939106</v>
      </c>
      <c r="Q69" s="643">
        <f t="shared" si="18"/>
        <v>-0.10307116057531403</v>
      </c>
      <c r="R69" s="643">
        <f t="shared" si="19"/>
        <v>-6.7855092836682456</v>
      </c>
      <c r="S69" s="643">
        <f t="shared" si="20"/>
        <v>5.8569936549477077</v>
      </c>
      <c r="T69" s="643">
        <f t="shared" si="21"/>
        <v>26.278465263783495</v>
      </c>
      <c r="U69" s="643">
        <f t="shared" si="22"/>
        <v>-6.8512864232729784</v>
      </c>
      <c r="V69" s="643">
        <f t="shared" si="23"/>
        <v>-14.044136690110978</v>
      </c>
      <c r="W69" s="643">
        <f t="shared" si="24"/>
        <v>6.8512864232729775</v>
      </c>
      <c r="X69" s="643">
        <f t="shared" si="25"/>
        <v>-5.8569936549477077</v>
      </c>
      <c r="Y69" s="643">
        <f t="shared" si="26"/>
        <v>-26.278465263783495</v>
      </c>
      <c r="Z69" s="643">
        <f t="shared" si="27"/>
        <v>8.8817841970012523E-16</v>
      </c>
      <c r="AA69" s="643">
        <f t="shared" si="28"/>
        <v>-29.183759368857114</v>
      </c>
      <c r="AB69" s="643">
        <f t="shared" si="29"/>
        <v>1.6740508642894691</v>
      </c>
    </row>
    <row r="70" spans="1:28" s="625" customFormat="1">
      <c r="A70" s="643">
        <f t="shared" si="12"/>
        <v>24</v>
      </c>
      <c r="B70" s="643">
        <f t="shared" si="13"/>
        <v>360</v>
      </c>
      <c r="C70" s="643">
        <f t="shared" si="2"/>
        <v>0.25183090000000002</v>
      </c>
      <c r="D70" s="643">
        <f t="shared" si="3"/>
        <v>9.2101729999999951E-2</v>
      </c>
      <c r="E70" s="643">
        <f t="shared" si="4"/>
        <v>8.0399700000000003</v>
      </c>
      <c r="F70" s="643">
        <f t="shared" si="5"/>
        <v>28.965350000000001</v>
      </c>
      <c r="G70" s="643">
        <f t="shared" si="6"/>
        <v>6.8146084402481382</v>
      </c>
      <c r="H70" s="643">
        <f t="shared" si="7"/>
        <v>14.675507446436681</v>
      </c>
      <c r="I70" s="643">
        <f t="shared" si="8"/>
        <v>41.889512102910047</v>
      </c>
      <c r="J70" s="643">
        <f t="shared" si="11"/>
        <v>58.070037650750564</v>
      </c>
      <c r="K70" s="643">
        <f t="shared" si="9"/>
        <v>63.19690929454395</v>
      </c>
      <c r="L70" s="670">
        <f t="shared" si="10"/>
        <v>35.07490366266191</v>
      </c>
      <c r="M70" s="671"/>
      <c r="N70" s="643">
        <f>N69+1</f>
        <v>6</v>
      </c>
      <c r="O70" s="643">
        <f>AB69</f>
        <v>1.6740508642894691</v>
      </c>
      <c r="P70" s="643">
        <f t="shared" si="17"/>
        <v>0.99467398470939106</v>
      </c>
      <c r="Q70" s="643">
        <f t="shared" si="18"/>
        <v>-0.10307116057531403</v>
      </c>
      <c r="R70" s="643">
        <f t="shared" si="19"/>
        <v>-6.7855092836682456</v>
      </c>
      <c r="S70" s="643">
        <f t="shared" si="20"/>
        <v>5.8569936549477077</v>
      </c>
      <c r="T70" s="643">
        <f t="shared" si="21"/>
        <v>26.278465263783495</v>
      </c>
      <c r="U70" s="643">
        <f t="shared" si="22"/>
        <v>-6.8512864232729784</v>
      </c>
      <c r="V70" s="643">
        <f t="shared" si="23"/>
        <v>-14.044136690110978</v>
      </c>
      <c r="W70" s="643">
        <f t="shared" si="24"/>
        <v>6.8512864232729775</v>
      </c>
      <c r="X70" s="643">
        <f t="shared" si="25"/>
        <v>-5.8569936549477077</v>
      </c>
      <c r="Y70" s="643">
        <f t="shared" si="26"/>
        <v>-26.278465263783495</v>
      </c>
      <c r="Z70" s="643">
        <f t="shared" si="27"/>
        <v>8.8817841970012523E-16</v>
      </c>
      <c r="AA70" s="643">
        <f t="shared" si="28"/>
        <v>-29.183759368857114</v>
      </c>
      <c r="AB70" s="643">
        <f t="shared" si="29"/>
        <v>1.6740508642894691</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-3.7730498003774662E-2</v>
      </c>
      <c r="D73" s="643">
        <f t="shared" ref="D73:D85" si="32">$E$19*SIN(B73*PI()/180)+$E$20*COS(B73*PI()/180)</f>
        <v>0.26547681703717574</v>
      </c>
      <c r="E73" s="643">
        <f t="shared" ref="E73:E85" si="33">$E$22*COS(B73*PI()/180)^2+$E$23*SIN(B73*PI()/180)^2</f>
        <v>28.060802924222664</v>
      </c>
      <c r="F73" s="643">
        <f t="shared" ref="F73:F85" si="34">$E$22*SIN(B73*PI()/180)^2+$E$23*COS(B73*PI()/180)^2</f>
        <v>8.9445170757773376</v>
      </c>
      <c r="G73" s="643">
        <f t="shared" ref="G73:G85" si="35">($E$18*(C73+$E$28)^2-$E$18*($E$21+$E$26)^2+$E$24-E73)/2</f>
        <v>-7.2564943892086085</v>
      </c>
      <c r="H73" s="643">
        <f t="shared" ref="H73:H85" si="36">$E$18*(C73+$E$28)*($E$21+$E$26)</f>
        <v>-2.1987540226880791</v>
      </c>
      <c r="I73" s="643">
        <f t="shared" ref="I73:I85" si="37">$E$18*((C73+$E$28)^2+($E$21+$E$26)^2)/2+$E$18*(D73+$E$27)^2+($E$24+E73)/2</f>
        <v>55.960614932366795</v>
      </c>
      <c r="J73" s="643">
        <f>SQRT(G73^2+H73^2)+I73</f>
        <v>63.542912082499001</v>
      </c>
      <c r="K73" s="670">
        <f>IF(G73=0,0,IF((PI()/2-ATAN2(H73,G73))/2*180/PI()&gt;90,(PI()/2-ATAN2(H73,G73))/2*180/PI()-180,(PI()/2-ATAN2(H73,G73))/2*180/PI()))</f>
        <v>-81.571464749752153</v>
      </c>
      <c r="L73" s="670">
        <f>IF(G73=0,0,SQRT(G73^2+H73^2)*SIN(2*K73*PI()/180+ATAN2(H73,G73))+I73)</f>
        <v>63.542912082499001</v>
      </c>
    </row>
    <row r="74" spans="1:28" s="625" customFormat="1">
      <c r="A74" s="643">
        <v>1</v>
      </c>
      <c r="B74" s="643">
        <f t="shared" si="30"/>
        <v>80</v>
      </c>
      <c r="C74" s="643">
        <f t="shared" si="31"/>
        <v>-4.6972520904614089E-2</v>
      </c>
      <c r="D74" s="643">
        <f t="shared" si="32"/>
        <v>0.26399832034251375</v>
      </c>
      <c r="E74" s="643">
        <f t="shared" si="33"/>
        <v>28.334372586570517</v>
      </c>
      <c r="F74" s="643">
        <f t="shared" si="34"/>
        <v>8.6709474134294844</v>
      </c>
      <c r="G74" s="643">
        <f t="shared" si="35"/>
        <v>-7.3420040361283725</v>
      </c>
      <c r="H74" s="643">
        <f t="shared" si="36"/>
        <v>-2.7373351733785118</v>
      </c>
      <c r="I74" s="643">
        <f t="shared" si="37"/>
        <v>56.046124579286555</v>
      </c>
      <c r="J74" s="643">
        <f>SQRT(G74^2+H74^2)+I74</f>
        <v>63.881813899183079</v>
      </c>
      <c r="K74" s="670">
        <f t="shared" ref="K74:K85" si="38">IF(G74=0,0,IF((PI()/2-ATAN2(H74,G74))/2*180/PI()&gt;90,(PI()/2-ATAN2(H74,G74))/2*180/PI()-180,(PI()/2-ATAN2(H74,G74))/2*180/PI()))</f>
        <v>-79.776463708090489</v>
      </c>
      <c r="L74" s="670">
        <f t="shared" ref="L74:L85" si="39">IF(G74=0,0,SQRT(G74^2+H74^2)*SIN(2*K74*PI()/180+ATAN2(H74,G74))+I74)</f>
        <v>63.881813899183079</v>
      </c>
    </row>
    <row r="75" spans="1:28" s="625" customFormat="1">
      <c r="A75" s="643">
        <f>A74+1</f>
        <v>2</v>
      </c>
      <c r="B75" s="643">
        <f t="shared" si="30"/>
        <v>82</v>
      </c>
      <c r="C75" s="643">
        <f t="shared" si="31"/>
        <v>-5.6157315024293337E-2</v>
      </c>
      <c r="D75" s="643">
        <f t="shared" si="32"/>
        <v>0.26219818236033826</v>
      </c>
      <c r="E75" s="643">
        <f t="shared" si="33"/>
        <v>28.560043133476888</v>
      </c>
      <c r="F75" s="643">
        <f t="shared" si="34"/>
        <v>8.4452768665231126</v>
      </c>
      <c r="G75" s="643">
        <f t="shared" si="35"/>
        <v>-7.39279598623704</v>
      </c>
      <c r="H75" s="643">
        <f t="shared" si="36"/>
        <v>-3.2725813028143382</v>
      </c>
      <c r="I75" s="643">
        <f t="shared" si="37"/>
        <v>56.096916529395223</v>
      </c>
      <c r="J75" s="643">
        <f t="shared" ref="J75:J84" si="40">SQRT(G75^2+H75^2)+I75</f>
        <v>64.181668898989017</v>
      </c>
      <c r="K75" s="670">
        <f t="shared" si="38"/>
        <v>-78.061192673867183</v>
      </c>
      <c r="L75" s="670">
        <f t="shared" si="39"/>
        <v>64.181668898989017</v>
      </c>
    </row>
    <row r="76" spans="1:28" s="625" customFormat="1">
      <c r="A76" s="643">
        <f t="shared" ref="A76:A84" si="41">A75+1</f>
        <v>3</v>
      </c>
      <c r="B76" s="643">
        <f t="shared" si="30"/>
        <v>84</v>
      </c>
      <c r="C76" s="643">
        <f t="shared" si="31"/>
        <v>-6.5273690105986854E-2</v>
      </c>
      <c r="D76" s="643">
        <f t="shared" si="32"/>
        <v>0.26007859628149044</v>
      </c>
      <c r="E76" s="643">
        <f t="shared" si="33"/>
        <v>28.736715120721581</v>
      </c>
      <c r="F76" s="643">
        <f t="shared" si="34"/>
        <v>8.2686048792784188</v>
      </c>
      <c r="G76" s="643">
        <f t="shared" si="35"/>
        <v>-7.4086227862592757</v>
      </c>
      <c r="H76" s="643">
        <f t="shared" si="36"/>
        <v>-3.8038402960351978</v>
      </c>
      <c r="I76" s="643">
        <f t="shared" si="37"/>
        <v>56.112743329417462</v>
      </c>
      <c r="J76" s="643">
        <f t="shared" si="40"/>
        <v>64.440821894538061</v>
      </c>
      <c r="K76" s="670">
        <f t="shared" si="38"/>
        <v>-76.411242599224124</v>
      </c>
      <c r="L76" s="670">
        <f t="shared" si="39"/>
        <v>64.440821894538061</v>
      </c>
    </row>
    <row r="77" spans="1:28" s="625" customFormat="1">
      <c r="A77" s="643">
        <f t="shared" si="41"/>
        <v>4</v>
      </c>
      <c r="B77" s="643">
        <f t="shared" si="30"/>
        <v>86</v>
      </c>
      <c r="C77" s="643">
        <f t="shared" si="31"/>
        <v>-7.4310539250927274E-2</v>
      </c>
      <c r="D77" s="643">
        <f t="shared" si="32"/>
        <v>0.2576421444951103</v>
      </c>
      <c r="E77" s="643">
        <f t="shared" si="33"/>
        <v>28.863527820141737</v>
      </c>
      <c r="F77" s="643">
        <f t="shared" si="34"/>
        <v>8.1417921798582604</v>
      </c>
      <c r="G77" s="643">
        <f t="shared" si="35"/>
        <v>-7.3894073296162706</v>
      </c>
      <c r="H77" s="643">
        <f t="shared" si="36"/>
        <v>-4.3304648957920113</v>
      </c>
      <c r="I77" s="643">
        <f t="shared" si="37"/>
        <v>56.093527872774452</v>
      </c>
      <c r="J77" s="643">
        <f t="shared" si="40"/>
        <v>64.65835518549207</v>
      </c>
      <c r="K77" s="670">
        <f t="shared" si="38"/>
        <v>-74.814063133445686</v>
      </c>
      <c r="L77" s="670">
        <f t="shared" si="39"/>
        <v>64.65835518549207</v>
      </c>
    </row>
    <row r="78" spans="1:28" s="625" customFormat="1">
      <c r="A78" s="643">
        <f t="shared" si="41"/>
        <v>5</v>
      </c>
      <c r="B78" s="643">
        <f t="shared" si="30"/>
        <v>88</v>
      </c>
      <c r="C78" s="643">
        <f t="shared" si="31"/>
        <v>-8.3256852450451585E-2</v>
      </c>
      <c r="D78" s="643">
        <f t="shared" si="32"/>
        <v>0.25489179544239288</v>
      </c>
      <c r="E78" s="643">
        <f t="shared" si="33"/>
        <v>28.939863413012962</v>
      </c>
      <c r="F78" s="643">
        <f t="shared" si="34"/>
        <v>8.0654565869870414</v>
      </c>
      <c r="G78" s="643">
        <f t="shared" si="35"/>
        <v>-7.3352432320812628</v>
      </c>
      <c r="H78" s="643">
        <f t="shared" si="36"/>
        <v>-4.8518134911302866</v>
      </c>
      <c r="I78" s="643">
        <f t="shared" si="37"/>
        <v>56.039363775239444</v>
      </c>
      <c r="J78" s="643">
        <f t="shared" si="40"/>
        <v>64.834014844298849</v>
      </c>
      <c r="K78" s="670">
        <f t="shared" si="38"/>
        <v>-73.258904340601006</v>
      </c>
      <c r="L78" s="670">
        <f t="shared" si="39"/>
        <v>64.834014844298849</v>
      </c>
    </row>
    <row r="79" spans="1:28" s="625" customFormat="1" ht="14.25">
      <c r="A79" s="695">
        <f t="shared" si="41"/>
        <v>6</v>
      </c>
      <c r="B79" s="695">
        <f>INDEX($B46:$B70,MATCH($J$44,$J$46:$J$70,0))</f>
        <v>90</v>
      </c>
      <c r="C79" s="695">
        <f t="shared" si="31"/>
        <v>-9.2101729999999993E-2</v>
      </c>
      <c r="D79" s="695">
        <f t="shared" si="32"/>
        <v>0.25183090000000002</v>
      </c>
      <c r="E79" s="695">
        <f t="shared" si="33"/>
        <v>28.965350000000001</v>
      </c>
      <c r="F79" s="695">
        <f t="shared" si="34"/>
        <v>8.0399700000000003</v>
      </c>
      <c r="G79" s="695">
        <f t="shared" si="35"/>
        <v>-7.2463943756928835</v>
      </c>
      <c r="H79" s="695">
        <f t="shared" si="36"/>
        <v>-5.3672508990941958</v>
      </c>
      <c r="I79" s="695">
        <f t="shared" si="37"/>
        <v>55.95051491885107</v>
      </c>
      <c r="J79" s="695">
        <f t="shared" si="40"/>
        <v>64.968142858719787</v>
      </c>
      <c r="K79" s="670">
        <f t="shared" si="38"/>
        <v>-71.736717601618281</v>
      </c>
      <c r="L79" s="670">
        <f t="shared" si="39"/>
        <v>64.968142858719787</v>
      </c>
    </row>
    <row r="80" spans="1:28" s="625" customFormat="1">
      <c r="A80" s="643">
        <f t="shared" si="41"/>
        <v>7</v>
      </c>
      <c r="B80" s="643">
        <f t="shared" ref="B80:B85" si="42">B79+2</f>
        <v>92</v>
      </c>
      <c r="C80" s="643">
        <f t="shared" si="31"/>
        <v>-0.10083439577872726</v>
      </c>
      <c r="D80" s="643">
        <f t="shared" si="32"/>
        <v>0.24846318739753359</v>
      </c>
      <c r="E80" s="643">
        <f t="shared" si="33"/>
        <v>28.939863413012962</v>
      </c>
      <c r="F80" s="643">
        <f t="shared" si="34"/>
        <v>8.0654565869870414</v>
      </c>
      <c r="G80" s="643">
        <f t="shared" si="35"/>
        <v>-7.1232936231484025</v>
      </c>
      <c r="H80" s="643">
        <f t="shared" si="36"/>
        <v>-5.8761491385991755</v>
      </c>
      <c r="I80" s="643">
        <f t="shared" si="37"/>
        <v>55.827414166306582</v>
      </c>
      <c r="J80" s="643">
        <f t="shared" si="40"/>
        <v>65.061613684437347</v>
      </c>
      <c r="K80" s="670">
        <f t="shared" si="38"/>
        <v>-70.240043876721543</v>
      </c>
      <c r="L80" s="670">
        <f t="shared" si="39"/>
        <v>65.061613684437347</v>
      </c>
    </row>
    <row r="81" spans="1:16" s="625" customFormat="1">
      <c r="A81" s="643">
        <f t="shared" si="41"/>
        <v>8</v>
      </c>
      <c r="B81" s="643">
        <f t="shared" si="42"/>
        <v>94</v>
      </c>
      <c r="C81" s="643">
        <f t="shared" si="31"/>
        <v>-0.10944421037854621</v>
      </c>
      <c r="D81" s="643">
        <f t="shared" si="32"/>
        <v>0.24479276067404326</v>
      </c>
      <c r="E81" s="643">
        <f t="shared" si="33"/>
        <v>28.863527820141737</v>
      </c>
      <c r="F81" s="643">
        <f t="shared" si="34"/>
        <v>8.1417921798582586</v>
      </c>
      <c r="G81" s="643">
        <f t="shared" si="35"/>
        <v>-6.9665407089401672</v>
      </c>
      <c r="H81" s="643">
        <f t="shared" si="36"/>
        <v>-6.3778881955301658</v>
      </c>
      <c r="I81" s="643">
        <f t="shared" si="37"/>
        <v>55.670661252098355</v>
      </c>
      <c r="J81" s="643">
        <f t="shared" si="40"/>
        <v>65.115773601033311</v>
      </c>
      <c r="K81" s="670">
        <f t="shared" si="38"/>
        <v>-68.762903562128656</v>
      </c>
      <c r="L81" s="670">
        <f t="shared" si="39"/>
        <v>65.115773601033311</v>
      </c>
    </row>
    <row r="82" spans="1:16" s="625" customFormat="1">
      <c r="A82" s="643">
        <f t="shared" si="41"/>
        <v>9</v>
      </c>
      <c r="B82" s="643">
        <f t="shared" si="42"/>
        <v>96</v>
      </c>
      <c r="C82" s="643">
        <f t="shared" si="31"/>
        <v>-0.11792068406660706</v>
      </c>
      <c r="D82" s="643">
        <f t="shared" si="32"/>
        <v>0.24082409167910585</v>
      </c>
      <c r="E82" s="643">
        <f t="shared" si="33"/>
        <v>28.736715120721588</v>
      </c>
      <c r="F82" s="643">
        <f t="shared" si="34"/>
        <v>8.2686048792784206</v>
      </c>
      <c r="G82" s="643">
        <f t="shared" si="35"/>
        <v>-6.7768993175094661</v>
      </c>
      <c r="H82" s="643">
        <f t="shared" si="36"/>
        <v>-6.8718567781332593</v>
      </c>
      <c r="I82" s="643">
        <f t="shared" si="37"/>
        <v>55.481019860667658</v>
      </c>
      <c r="J82" s="643">
        <f t="shared" si="40"/>
        <v>65.132381419475635</v>
      </c>
      <c r="K82" s="670">
        <f t="shared" si="38"/>
        <v>-67.30069341447502</v>
      </c>
      <c r="L82" s="670">
        <f t="shared" si="39"/>
        <v>65.132381419475635</v>
      </c>
    </row>
    <row r="83" spans="1:16" s="625" customFormat="1">
      <c r="A83" s="643">
        <f t="shared" si="41"/>
        <v>10</v>
      </c>
      <c r="B83" s="643">
        <f t="shared" si="42"/>
        <v>98</v>
      </c>
      <c r="C83" s="643">
        <f t="shared" si="31"/>
        <v>-0.12625348956542168</v>
      </c>
      <c r="D83" s="643">
        <f t="shared" si="32"/>
        <v>0.23656201562456489</v>
      </c>
      <c r="E83" s="643">
        <f t="shared" si="33"/>
        <v>28.560043133476896</v>
      </c>
      <c r="F83" s="643">
        <f t="shared" si="34"/>
        <v>8.4452768665231108</v>
      </c>
      <c r="G83" s="643">
        <f t="shared" si="35"/>
        <v>-6.5552933626526499</v>
      </c>
      <c r="H83" s="643">
        <f t="shared" si="36"/>
        <v>-7.3574530617805891</v>
      </c>
      <c r="I83" s="643">
        <f t="shared" si="37"/>
        <v>55.259413905810838</v>
      </c>
      <c r="J83" s="643">
        <f t="shared" si="40"/>
        <v>65.113549414659019</v>
      </c>
      <c r="K83" s="670">
        <f t="shared" si="38"/>
        <v>-65.850090736443647</v>
      </c>
      <c r="L83" s="670">
        <f t="shared" si="39"/>
        <v>65.113549414659019</v>
      </c>
    </row>
    <row r="84" spans="1:16" s="625" customFormat="1">
      <c r="A84" s="643">
        <f t="shared" si="41"/>
        <v>11</v>
      </c>
      <c r="B84" s="643">
        <f t="shared" si="42"/>
        <v>100</v>
      </c>
      <c r="C84" s="643">
        <f t="shared" si="31"/>
        <v>-0.13443247463506003</v>
      </c>
      <c r="D84" s="643">
        <f t="shared" si="32"/>
        <v>0.23201172519357044</v>
      </c>
      <c r="E84" s="643">
        <f t="shared" si="33"/>
        <v>28.334372586570513</v>
      </c>
      <c r="F84" s="643">
        <f t="shared" si="34"/>
        <v>8.6709474134294826</v>
      </c>
      <c r="G84" s="643">
        <f t="shared" si="35"/>
        <v>-6.3028024863060264</v>
      </c>
      <c r="H84" s="643">
        <f t="shared" si="36"/>
        <v>-7.8340854222009035</v>
      </c>
      <c r="I84" s="643">
        <f t="shared" si="37"/>
        <v>55.006923029464211</v>
      </c>
      <c r="J84" s="643">
        <f t="shared" si="40"/>
        <v>65.061683771705972</v>
      </c>
      <c r="K84" s="670">
        <f t="shared" si="38"/>
        <v>-64.408962056641286</v>
      </c>
      <c r="L84" s="670">
        <f t="shared" si="39"/>
        <v>65.061683771705972</v>
      </c>
    </row>
    <row r="85" spans="1:16" s="625" customFormat="1">
      <c r="A85" s="643">
        <f>A84+1</f>
        <v>12</v>
      </c>
      <c r="B85" s="643">
        <f t="shared" si="42"/>
        <v>102</v>
      </c>
      <c r="C85" s="643">
        <f t="shared" si="31"/>
        <v>-0.1424476744420908</v>
      </c>
      <c r="D85" s="643">
        <f t="shared" si="32"/>
        <v>0.22717876421409425</v>
      </c>
      <c r="E85" s="643">
        <f t="shared" si="33"/>
        <v>28.060802924222667</v>
      </c>
      <c r="F85" s="643">
        <f t="shared" si="34"/>
        <v>8.944517075777334</v>
      </c>
      <c r="G85" s="643">
        <f t="shared" si="35"/>
        <v>-6.0206567986388784</v>
      </c>
      <c r="H85" s="643">
        <f t="shared" si="36"/>
        <v>-8.3011731562826157</v>
      </c>
      <c r="I85" s="643">
        <f t="shared" si="37"/>
        <v>54.724777341797065</v>
      </c>
      <c r="J85" s="643">
        <f>SQRT(G85^2+H85^2)+I85</f>
        <v>64.979424291233386</v>
      </c>
      <c r="K85" s="670">
        <f t="shared" si="38"/>
        <v>-62.97627216118471</v>
      </c>
      <c r="L85" s="670">
        <f t="shared" si="39"/>
        <v>64.979424291233386</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95.916049214014336</v>
      </c>
      <c r="C89" s="643">
        <f>$E$19*COS(B89*PI()/180)-$E$20*SIN(B89*PI()/180)</f>
        <v>-0.11756769790945437</v>
      </c>
      <c r="D89" s="643">
        <f>$E$19*SIN(B89*PI()/180)+$E$20*COS(B89*PI()/180)</f>
        <v>0.24099661257385796</v>
      </c>
      <c r="E89" s="643">
        <f>$E$22*COS(B89*PI()/180)^2+$E$23*SIN(B89*PI()/180)^2</f>
        <v>28.743045790829115</v>
      </c>
      <c r="F89" s="670">
        <f>$E$22*SIN(B89*PI()/180)^2+$E$23*COS(B89*PI()/180)^2</f>
        <v>8.2622742091708847</v>
      </c>
      <c r="G89" s="643">
        <f>($E$18*(C89+$E$28)^2-$E$18*($E$21+$E$26)^2+$E$24-E89)/2</f>
        <v>-6.7855092836682438</v>
      </c>
      <c r="H89" s="643">
        <f>$E$18*(C89+$E$28)*($E$21+$E$26)</f>
        <v>-6.8512864232729811</v>
      </c>
      <c r="I89" s="643">
        <f>$E$18*((C89+$E$28)^2+($E$21+$E$26)^2)/2+$E$18*(D89+$E$27)^2+($E$24+E89)/2</f>
        <v>55.48962982682643</v>
      </c>
      <c r="J89" s="702">
        <f>SQRT(G89^2+H89^2)+I89</f>
        <v>65.132412718319557</v>
      </c>
      <c r="K89" s="659">
        <f>$E$18*((C89+$E$28)^2+($E$21+$E$26)^2)+F89</f>
        <v>35.99667384671119</v>
      </c>
      <c r="L89" s="659">
        <f>$E$18*(D89^2+($E$21+$E$26)^2)+E89</f>
        <v>62.275139110494671</v>
      </c>
      <c r="N89" s="643">
        <f>IF(G89=0,0,IF((PI()/2-ATAN2(H89,G89))/2*180/PI()&gt;90,(PI()/2-ATAN2(H89,G89))/2*180/PI()-180,(PI()/2-ATAN2(H89,G89))/2*180/PI()))</f>
        <v>-67.361817858790985</v>
      </c>
      <c r="O89" s="643">
        <f>IF(G89=0,0,SQRT(G89^2+H89^2)*SIN(2*N89*PI()/180+ATAN2(H89,G89))+I89)</f>
        <v>65.132412718319557</v>
      </c>
      <c r="P89" s="703"/>
    </row>
    <row r="90" spans="1:16" s="625" customFormat="1" ht="14.25">
      <c r="A90" s="664" t="s">
        <v>1584</v>
      </c>
      <c r="B90" s="701">
        <f>N46</f>
        <v>353.90325906338177</v>
      </c>
      <c r="C90" s="643">
        <f>$E$19*COS(B90*PI()/180)-$E$20*SIN(B90*PI()/180)</f>
        <v>0.26018843672860353</v>
      </c>
      <c r="D90" s="670">
        <f>$E$19*SIN(B90*PI()/180)+$E$20*COS(B90*PI()/180)</f>
        <v>6.4834468120964828E-2</v>
      </c>
      <c r="E90" s="670">
        <f>$E$22*COS(B90*PI()/180)^2+$E$23*SIN(B90*PI()/180)^2</f>
        <v>8.2760090307569119</v>
      </c>
      <c r="F90" s="643">
        <f>$E$22*SIN(B90*PI()/180)^2+$E$23*COS(B90*PI()/180)^2</f>
        <v>28.729310969243087</v>
      </c>
      <c r="G90" s="670">
        <f>($E$18*(C90+$E$28)^2-$E$18*($E$21+$E$26)^2+$E$24-E90)/2</f>
        <v>6.9768778618861083</v>
      </c>
      <c r="H90" s="670">
        <f>$E$18*(C90+$E$28)*($E$21+$E$26)</f>
        <v>15.162544948564058</v>
      </c>
      <c r="I90" s="670">
        <f>$E$18*((C90+$E$28)^2+($E$21+$E$26)^2)/2+$E$18*(D90+$E$27)^2+($E$24+E90)/2</f>
        <v>41.727242681272074</v>
      </c>
      <c r="J90" s="670">
        <f>SQRT(G90^2+H90^2)+I90</f>
        <v>58.417946501569823</v>
      </c>
      <c r="K90" s="702">
        <f>$E$18*((C90+$E$28)^2+($E$21+$E$26)^2)+F90</f>
        <v>63.521448137819888</v>
      </c>
      <c r="L90" s="659">
        <f>$E$18*(D90^2+($E$21+$E$26)^2)+E90</f>
        <v>34.750364819385972</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0.2681446081199525</v>
      </c>
      <c r="P5" s="10"/>
      <c r="Q5" s="4" t="s">
        <v>91</v>
      </c>
      <c r="R5" s="10"/>
    </row>
    <row r="6" spans="1:18" ht="14.1" customHeight="1">
      <c r="B6" s="14" t="s">
        <v>427</v>
      </c>
      <c r="C6" s="72">
        <f>VLOOKUP($C$3,Table1,12)</f>
        <v>185</v>
      </c>
      <c r="D6" s="68">
        <f>HLOOKUP($C$4,$E$4:$H$12,3)</f>
        <v>131</v>
      </c>
      <c r="E6" s="68">
        <f>'Payload Input'!$E$18</f>
        <v>131</v>
      </c>
      <c r="F6" s="68">
        <f>'Payload Input'!$E$18</f>
        <v>131</v>
      </c>
      <c r="G6" s="147">
        <f>IF(('Misc Data'!$B$11=3),Anal_Input_1, 0)</f>
        <v>0</v>
      </c>
      <c r="H6" s="155">
        <f>I6</f>
        <v>0</v>
      </c>
      <c r="I6" s="156">
        <f>IF(('Misc Data'!$B$11=4),Anal_Input_1, 0)</f>
        <v>0</v>
      </c>
      <c r="J6" s="39"/>
      <c r="K6" s="51"/>
      <c r="L6" s="52"/>
      <c r="M6" s="400"/>
      <c r="N6" s="391" t="s">
        <v>840</v>
      </c>
      <c r="O6" s="52">
        <f>'Payload Input'!$E$21+'Payload Input'!$E$26</f>
        <v>0.4448492</v>
      </c>
      <c r="Q6" s="31" t="s">
        <v>427</v>
      </c>
      <c r="R6" s="450">
        <f>D6</f>
        <v>131</v>
      </c>
    </row>
    <row r="7" spans="1:18" ht="14.1" customHeight="1">
      <c r="B7" s="14" t="s">
        <v>364</v>
      </c>
      <c r="C7" s="72">
        <f>VLOOKUP($C$3,Table1,6)</f>
        <v>1225</v>
      </c>
      <c r="D7" s="68">
        <f>IF(OR(Anal_Robot_Code=10111,Anal_Robot_Code=10214,Anal_Robot_Code=10215),"-",HLOOKUP($C$4,$E$4:$H$12,4))</f>
        <v>666.82547055827138</v>
      </c>
      <c r="E7" s="68">
        <f>'Payload Input'!$E$31</f>
        <v>666.82547055827138</v>
      </c>
      <c r="F7" s="68">
        <f>'Payload Input'!$E$31</f>
        <v>666.82547055827138</v>
      </c>
      <c r="G7" s="147">
        <f>IF(('Misc Data'!$B$11=3),Anal_Input_2, 0)</f>
        <v>0</v>
      </c>
      <c r="H7" s="155">
        <f>I7</f>
        <v>0</v>
      </c>
      <c r="I7" s="156">
        <f>IF(('Misc Data'!$B$11=4),Anal_Input_2, 0)</f>
        <v>0</v>
      </c>
      <c r="J7" s="39"/>
      <c r="K7" s="51" t="s">
        <v>1564</v>
      </c>
      <c r="L7" s="52">
        <f>D8*SIN(RADIANS(O10))</f>
        <v>344.24404790439502</v>
      </c>
      <c r="M7" s="39"/>
      <c r="N7" s="391" t="s">
        <v>3494</v>
      </c>
      <c r="O7" s="52">
        <f>DEGREES(IF(O6=0,0,ATAN2(O6,O5)))</f>
        <v>31.080581754011536</v>
      </c>
      <c r="Q7" s="31" t="s">
        <v>364</v>
      </c>
      <c r="R7" s="31">
        <f>IF(Axis_Type&lt;&gt;2,D7,IF(Wrist_Down_Fix=1,L7,D8))</f>
        <v>666.82547055827138</v>
      </c>
    </row>
    <row r="8" spans="1:18" ht="14.1" customHeight="1">
      <c r="A8" s="4"/>
      <c r="B8" s="14" t="s">
        <v>365</v>
      </c>
      <c r="C8" s="72">
        <f>VLOOKUP($C$3,Table1,7)</f>
        <v>1225</v>
      </c>
      <c r="D8" s="68">
        <f>HLOOKUP($C$4,$E$4:$H$12,5)</f>
        <v>666.82547055827138</v>
      </c>
      <c r="E8" s="68">
        <f>'Payload Input'!$E$32</f>
        <v>666.82547055827138</v>
      </c>
      <c r="F8" s="68">
        <f>'Payload Input'!$E$32</f>
        <v>666.82547055827138</v>
      </c>
      <c r="G8" s="147">
        <f>IF(('Misc Data'!$B$11=3),Anal_Input_3, 0)</f>
        <v>0</v>
      </c>
      <c r="H8" s="155">
        <f>I8</f>
        <v>0</v>
      </c>
      <c r="I8" s="156">
        <f>IF(('Misc Data'!$B$11=4),Anal_Input_3, 0)</f>
        <v>0</v>
      </c>
      <c r="J8" s="39"/>
      <c r="K8" s="51" t="s">
        <v>3182</v>
      </c>
      <c r="L8" s="52">
        <f>D9*SIN(RADIANS(L5))</f>
        <v>0</v>
      </c>
      <c r="M8" s="39"/>
      <c r="N8" s="391" t="s">
        <v>1493</v>
      </c>
      <c r="O8" s="52">
        <f>O7+L5</f>
        <v>31.080581754011536</v>
      </c>
      <c r="Q8" s="31" t="s">
        <v>365</v>
      </c>
      <c r="R8" s="31">
        <f>IF(Axis_Type&lt;&gt;2,D8,IF(Wrist_Down_Fix=1,L8,D9))</f>
        <v>666.82547055827138</v>
      </c>
    </row>
    <row r="9" spans="1:18" ht="14.1" customHeight="1">
      <c r="B9" s="14" t="s">
        <v>366</v>
      </c>
      <c r="C9" s="72">
        <f>VLOOKUP($C$3,Table1,8)</f>
        <v>706</v>
      </c>
      <c r="D9" s="68">
        <f>HLOOKUP($C$4,$E$4:$H$12,6)</f>
        <v>344.24404790439507</v>
      </c>
      <c r="E9" s="68">
        <f>'Payload Input'!$E$33</f>
        <v>344.24404790439507</v>
      </c>
      <c r="F9" s="68">
        <f>'Payload Input'!$E$33</f>
        <v>344.24404790439507</v>
      </c>
      <c r="G9" s="147">
        <f>IF(('Misc Data'!$B$11=3),Anal_Input_4, 0)</f>
        <v>0</v>
      </c>
      <c r="H9" s="155">
        <f>I9</f>
        <v>0</v>
      </c>
      <c r="I9" s="156">
        <f>IF(('Misc Data'!$B$11=4),Anal_Input_4, 0)</f>
        <v>0</v>
      </c>
      <c r="J9" s="39"/>
      <c r="K9" s="51"/>
      <c r="L9" s="52"/>
      <c r="M9" s="39"/>
      <c r="N9" s="391" t="s">
        <v>2815</v>
      </c>
      <c r="O9" s="52">
        <f>O7-L5</f>
        <v>31.080581754011536</v>
      </c>
      <c r="Q9" s="31" t="s">
        <v>366</v>
      </c>
      <c r="R9" s="31">
        <f>IF(Axis_Count=1,0,D9)</f>
        <v>344.24404790439507</v>
      </c>
    </row>
    <row r="10" spans="1:18" ht="14.1" customHeight="1" thickBot="1">
      <c r="B10" s="14" t="s">
        <v>1914</v>
      </c>
      <c r="C10" s="72">
        <f>VLOOKUP($C$3,Table1,9)</f>
        <v>141.1</v>
      </c>
      <c r="D10" s="68">
        <f>HLOOKUP($C$4,$E$4:$H$12,7)</f>
        <v>65.132412718319557</v>
      </c>
      <c r="E10" s="68">
        <f>'Payload Input'!$E$36</f>
        <v>65.132412718319557</v>
      </c>
      <c r="F10" s="68">
        <f>'Payload Input'!$E$36</f>
        <v>65.132412718319557</v>
      </c>
      <c r="G10" s="147">
        <f>IF(('Misc Data'!$B$11=3),Anal_Input_5, 0)</f>
        <v>0</v>
      </c>
      <c r="H10" s="155">
        <f>I10/H13</f>
        <v>0</v>
      </c>
      <c r="I10" s="156">
        <f>IF(('Misc Data'!$B$11=4),Anal_Input_5, 0)</f>
        <v>0</v>
      </c>
      <c r="J10" s="39"/>
      <c r="K10" s="51" t="s">
        <v>1599</v>
      </c>
      <c r="L10" s="392">
        <f>D11</f>
        <v>63.521448137819888</v>
      </c>
      <c r="M10" s="39"/>
      <c r="N10" s="453" t="s">
        <v>882</v>
      </c>
      <c r="O10" s="54">
        <f>IF(O9&lt;=90,IF(90&lt;=O8,90,O8),O9)</f>
        <v>31.080581754011536</v>
      </c>
      <c r="Q10" s="31" t="s">
        <v>1914</v>
      </c>
      <c r="R10" s="31">
        <f>IF(Axis_Type&lt;&gt;2,D10,IF(Wrist_Down_Fix=1,L10,D11))</f>
        <v>65.132412718319557</v>
      </c>
    </row>
    <row r="11" spans="1:18" ht="14.1" customHeight="1">
      <c r="B11" s="14" t="s">
        <v>1915</v>
      </c>
      <c r="C11" s="72">
        <f>VLOOKUP($C$3,Table1,10)</f>
        <v>141.1</v>
      </c>
      <c r="D11" s="68">
        <f>HLOOKUP($C$4,$E$4:$H$12,8)</f>
        <v>63.521448137819888</v>
      </c>
      <c r="E11" s="68">
        <f>'Payload Input'!$E$37</f>
        <v>63.521448137819888</v>
      </c>
      <c r="F11" s="68">
        <f>'Payload Input'!$E$37</f>
        <v>63.521448137819888</v>
      </c>
      <c r="G11" s="147">
        <f>IF(('Misc Data'!$B$11=3),Anal_Input_6, 0)</f>
        <v>0</v>
      </c>
      <c r="H11" s="155">
        <f>I11/H13</f>
        <v>0</v>
      </c>
      <c r="I11" s="156">
        <f>IF(('Misc Data'!$B$11=4),Anal_Input_6, 0)</f>
        <v>0</v>
      </c>
      <c r="J11" s="39"/>
      <c r="K11" s="51" t="s">
        <v>1060</v>
      </c>
      <c r="L11" s="392">
        <f>D12</f>
        <v>48.704120543158183</v>
      </c>
      <c r="M11" s="39"/>
      <c r="N11" s="151"/>
      <c r="Q11" s="31" t="s">
        <v>1915</v>
      </c>
      <c r="R11" s="31">
        <f>IF(Axis_Type&lt;&gt;2,D11,IF(Wrist_Down_Fix=1,L11,D12))</f>
        <v>63.521448137819888</v>
      </c>
    </row>
    <row r="12" spans="1:18" s="19" customFormat="1" ht="14.1" customHeight="1" thickBot="1">
      <c r="A12" s="5"/>
      <c r="B12" s="16" t="s">
        <v>554</v>
      </c>
      <c r="C12" s="73">
        <f>VLOOKUP($C$3,Table1,11)</f>
        <v>78.400000000000006</v>
      </c>
      <c r="D12" s="88">
        <f>HLOOKUP($C$4,$E$4:$H$12,9)</f>
        <v>48.704120543158183</v>
      </c>
      <c r="E12" s="69">
        <f>'Payload Input'!$E$38</f>
        <v>48.704120543158183</v>
      </c>
      <c r="F12" s="69">
        <f>'Payload Input'!$E$38</f>
        <v>48.704120543158183</v>
      </c>
      <c r="G12" s="148">
        <f>IF(('Misc Data'!$B$11=3),Anal_Input_7, 0)</f>
        <v>0</v>
      </c>
      <c r="H12" s="157">
        <f>I12/H13</f>
        <v>0</v>
      </c>
      <c r="I12" s="158">
        <f>IF(('Misc Data'!$B$11=4),Anal_Input_7, 0)</f>
        <v>0</v>
      </c>
      <c r="J12" s="32"/>
      <c r="K12" s="53"/>
      <c r="L12" s="393"/>
      <c r="M12" s="5"/>
      <c r="N12" s="151"/>
      <c r="O12" s="5"/>
      <c r="P12" s="5"/>
      <c r="Q12" s="31" t="s">
        <v>554</v>
      </c>
      <c r="R12" s="31">
        <f>IF(Axis_Count=1,0,D12)</f>
        <v>48.704120543158183</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69.8</v>
      </c>
      <c r="F20" s="39"/>
      <c r="I20" s="151"/>
      <c r="J20" s="39"/>
      <c r="K20" s="35"/>
      <c r="L20" s="400"/>
      <c r="M20" s="39"/>
      <c r="O20" s="400"/>
      <c r="Q20" s="31" t="s">
        <v>310</v>
      </c>
      <c r="R20" s="387">
        <f>D20</f>
        <v>69.8</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54</v>
      </c>
      <c r="E22" s="341">
        <f>TRUNC(D8/$C$7*100,0)</f>
        <v>54</v>
      </c>
      <c r="F22" s="341">
        <f>TRUNC(L7/$C$7*100,0)</f>
        <v>28</v>
      </c>
      <c r="G22" s="39"/>
      <c r="H22" s="39"/>
      <c r="I22" s="458" t="s">
        <v>493</v>
      </c>
      <c r="J22" s="39"/>
      <c r="K22" s="39"/>
      <c r="L22" s="455"/>
      <c r="M22" s="39"/>
      <c r="N22" s="337"/>
      <c r="O22" s="400"/>
      <c r="P22" s="39"/>
      <c r="Q22" s="55" t="s">
        <v>490</v>
      </c>
      <c r="R22" s="397">
        <f>IF(OR(Anal_Robot_Code=10111,Anal_Robot_Code=10214,Anal_Robot_Code=10215),I22,IF(Axis_Type&lt;&gt;2,D22,IF(Wrist_Down_Fix=1,F22,E22)))</f>
        <v>54</v>
      </c>
    </row>
    <row r="23" spans="1:18" s="4" customFormat="1" ht="14.1" customHeight="1">
      <c r="A23" s="5"/>
      <c r="B23" s="14" t="s">
        <v>491</v>
      </c>
      <c r="C23" s="65"/>
      <c r="D23" s="340">
        <f>IF(Wrist_Down_Fix=1,IF(C8&lt;D8,101,0),TRUNC(D8/$C$8*100,0))</f>
        <v>54</v>
      </c>
      <c r="E23" s="341">
        <f>TRUNC(D9/$C$8*100,0)</f>
        <v>28</v>
      </c>
      <c r="F23" s="341">
        <v>0</v>
      </c>
      <c r="G23" s="458" t="str">
        <f>IF(D23=0,"-","∞")</f>
        <v>∞</v>
      </c>
      <c r="H23" s="39"/>
      <c r="I23" s="39"/>
      <c r="J23" s="39"/>
      <c r="K23" s="39"/>
      <c r="L23" s="455"/>
      <c r="M23" s="39"/>
      <c r="N23" s="39"/>
      <c r="O23" s="400"/>
      <c r="P23" s="39"/>
      <c r="Q23" s="56" t="s">
        <v>491</v>
      </c>
      <c r="R23" s="459">
        <f>IF(Axis_Type&lt;&gt;2,IF(Wrist_Down_Fix=1,G23,D23),IF(Wrist_Down_Fix=1,F23,E23))</f>
        <v>54</v>
      </c>
    </row>
    <row r="24" spans="1:18" ht="14.1" customHeight="1" thickBot="1">
      <c r="B24" s="16" t="s">
        <v>492</v>
      </c>
      <c r="C24" s="66"/>
      <c r="D24" s="323">
        <f>TRUNC(D9/$C$9*100,0)</f>
        <v>48</v>
      </c>
      <c r="F24" s="39"/>
      <c r="G24" s="39"/>
      <c r="H24" s="39"/>
      <c r="I24" s="39"/>
      <c r="J24" s="39"/>
      <c r="K24" s="39"/>
      <c r="L24" s="455"/>
      <c r="M24" s="39"/>
      <c r="N24" s="414"/>
      <c r="O24" s="400"/>
      <c r="P24" s="39"/>
      <c r="Q24" s="48" t="s">
        <v>492</v>
      </c>
      <c r="R24" s="397">
        <f>IF(Axis_Count=1,0,D24)</f>
        <v>48</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46.2</v>
      </c>
      <c r="E26" s="341">
        <f>ROUNDUP(D11/$C10*100,1)</f>
        <v>45.1</v>
      </c>
      <c r="F26" s="341">
        <f>ROUNDUP(L10/$C$10*100,1)</f>
        <v>45.1</v>
      </c>
      <c r="G26" s="39"/>
      <c r="H26" s="39"/>
      <c r="I26" s="39"/>
      <c r="J26" s="39"/>
      <c r="K26" s="39"/>
      <c r="L26" s="455"/>
      <c r="M26" s="39"/>
      <c r="N26" s="39"/>
      <c r="O26" s="400"/>
      <c r="P26" s="39"/>
      <c r="Q26" s="55" t="s">
        <v>490</v>
      </c>
      <c r="R26" s="397">
        <f>IF(Axis_Type&lt;&gt;2,D26,IF(Wrist_Down_Fix=1,F26,E26))</f>
        <v>46.2</v>
      </c>
    </row>
    <row r="27" spans="1:18" ht="14.1" customHeight="1">
      <c r="B27" s="14" t="s">
        <v>491</v>
      </c>
      <c r="C27" s="65">
        <f>ROUND(C11/$G74*100,)</f>
        <v>100</v>
      </c>
      <c r="D27" s="340">
        <f>ROUNDUP(D11/$C11*100,1)</f>
        <v>45.1</v>
      </c>
      <c r="E27" s="341">
        <f>ROUNDUP(D12/$C11*100,1)</f>
        <v>34.6</v>
      </c>
      <c r="F27" s="341">
        <f>ROUNDUP(L11/$C11*100,1)</f>
        <v>34.6</v>
      </c>
      <c r="G27" s="39"/>
      <c r="H27" s="39"/>
      <c r="I27" s="39"/>
      <c r="J27" s="39"/>
      <c r="K27" s="39"/>
      <c r="L27" s="455"/>
      <c r="M27" s="39"/>
      <c r="N27" s="39"/>
      <c r="O27" s="400"/>
      <c r="P27" s="39"/>
      <c r="Q27" s="56" t="s">
        <v>491</v>
      </c>
      <c r="R27" s="397">
        <f>IF(Axis_Type&lt;&gt;2,D27,IF(Wrist_Down_Fix=1,F27,E27))</f>
        <v>45.1</v>
      </c>
    </row>
    <row r="28" spans="1:18" s="19" customFormat="1" ht="14.1" customHeight="1" thickBot="1">
      <c r="A28" s="5"/>
      <c r="B28" s="16" t="s">
        <v>492</v>
      </c>
      <c r="C28" s="66">
        <f>ROUND(C12/$G75*100,)</f>
        <v>100</v>
      </c>
      <c r="D28" s="323">
        <f>ROUNDUP(D12/$C12*100,1)</f>
        <v>62.2</v>
      </c>
      <c r="E28" s="5"/>
      <c r="F28" s="39"/>
      <c r="G28" s="5"/>
      <c r="H28" s="5"/>
      <c r="I28" s="5"/>
      <c r="J28" s="39"/>
      <c r="K28" s="39"/>
      <c r="L28" s="455"/>
      <c r="M28" s="39"/>
      <c r="N28" s="5"/>
      <c r="O28" s="5"/>
      <c r="P28" s="5"/>
      <c r="Q28" s="48" t="s">
        <v>492</v>
      </c>
      <c r="R28" s="398">
        <f>IF(Axis_Count=1,0,D28)</f>
        <v>62.2</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939.60001502259365</v>
      </c>
      <c r="E65" s="362">
        <f>D8+(D11*$D$73)</f>
        <v>932.85329535946107</v>
      </c>
      <c r="F65" s="135"/>
      <c r="G65" s="135"/>
      <c r="J65" s="39"/>
      <c r="K65" s="400"/>
      <c r="L65" s="135"/>
      <c r="M65" s="135"/>
      <c r="N65" s="39"/>
    </row>
    <row r="66" spans="1:18" s="4" customFormat="1" ht="14.1" customHeight="1">
      <c r="A66" s="5"/>
      <c r="B66" s="37" t="s">
        <v>491</v>
      </c>
      <c r="C66" s="38">
        <f xml:space="preserve"> C8+(C11*$D$74)</f>
        <v>1717.4390000000001</v>
      </c>
      <c r="D66" s="38">
        <f xml:space="preserve"> D8+(D11*$D$74)</f>
        <v>888.51532455926281</v>
      </c>
      <c r="E66" s="362">
        <f xml:space="preserve"> D9+(D12*$D$74)</f>
        <v>514.22142860001713</v>
      </c>
      <c r="F66" s="135"/>
      <c r="G66" s="135"/>
      <c r="H66" s="5"/>
      <c r="I66" s="5"/>
      <c r="J66" s="39"/>
      <c r="K66" s="400"/>
      <c r="L66" s="135"/>
      <c r="M66" s="135"/>
      <c r="N66" s="39"/>
      <c r="O66" s="5"/>
      <c r="P66" s="5"/>
      <c r="Q66" s="5"/>
      <c r="R66" s="5"/>
    </row>
    <row r="67" spans="1:18" ht="14.1" customHeight="1">
      <c r="B67" s="37" t="s">
        <v>492</v>
      </c>
      <c r="C67" s="38">
        <f>C9+(C12*$D$75)</f>
        <v>922.38400000000001</v>
      </c>
      <c r="D67" s="38">
        <f>D9+(D12*$D$75)</f>
        <v>478.66742060351169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25.183</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9.2100000000000009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20.984999999999999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82.040999999999997</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295.565</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400.86799999999999</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69.8</v>
      </c>
      <c r="D9" s="3">
        <v>0</v>
      </c>
      <c r="E9" s="3">
        <f>IF(H9&gt;$F$8, $F$8-$E$8, IF(H9&gt;$E$8, H9-$E$8, 0))</f>
        <v>0</v>
      </c>
      <c r="F9" s="3">
        <f>IF(H9&gt;$F$8, H9-$F$8, 0)</f>
        <v>0</v>
      </c>
      <c r="H9" s="3">
        <f>'Wrist Load Analysis'!R20</f>
        <v>69.8</v>
      </c>
    </row>
    <row r="11" spans="1:8">
      <c r="A11" s="3" t="s">
        <v>348</v>
      </c>
      <c r="B11" s="3" t="s">
        <v>2344</v>
      </c>
      <c r="C11" s="3">
        <f>IF(H11&gt;$E$8, $E$8, H11)</f>
        <v>54</v>
      </c>
      <c r="D11" s="3">
        <v>0</v>
      </c>
      <c r="E11" s="3">
        <f>IF(H11&gt;$F$8, $F$8-$E$8, IF(H11&gt;$E$8, H11-$E$8, 0))</f>
        <v>0</v>
      </c>
      <c r="F11" s="3">
        <f>IF(H11&gt;$F$8, H11-$F$8, 0)</f>
        <v>0</v>
      </c>
      <c r="H11" s="3">
        <f>IF(Anal_Robot_Code=10111,0,'Wrist Load Analysis'!R22)</f>
        <v>54</v>
      </c>
    </row>
    <row r="12" spans="1:8">
      <c r="B12" s="3" t="s">
        <v>1618</v>
      </c>
      <c r="C12" s="3">
        <f>IF(H12&gt;$E$8, $E$8, H12)</f>
        <v>54</v>
      </c>
      <c r="D12" s="3">
        <v>0</v>
      </c>
      <c r="E12" s="3">
        <f>IF(H12&gt;$F$8, $F$8-$E$8, IF(H12&gt;$E$8, H12-$E$8, 0))</f>
        <v>0</v>
      </c>
      <c r="F12" s="3">
        <f>IF(H12&gt;$F$8, H12-$F$8, 0)</f>
        <v>0</v>
      </c>
      <c r="H12" s="3">
        <f>'Wrist Load Analysis'!R23</f>
        <v>54</v>
      </c>
    </row>
    <row r="13" spans="1:8">
      <c r="B13" s="3" t="str">
        <f>IF(Axis_Count=1,"","J6")</f>
        <v>J6</v>
      </c>
      <c r="C13" s="3">
        <f>IF(H13&gt;$E$8, $E$8, H13)</f>
        <v>48</v>
      </c>
      <c r="D13" s="3">
        <v>0</v>
      </c>
      <c r="E13" s="3">
        <f>IF(H13&gt;$F$8, $F$8-$E$8, IF(H13&gt;$E$8, H13-$E$8, 0))</f>
        <v>0</v>
      </c>
      <c r="F13" s="3">
        <f>IF(H13&gt;$F$8, H13-$F$8, 0)</f>
        <v>0</v>
      </c>
      <c r="H13" s="3">
        <f>'Wrist Load Analysis'!R24</f>
        <v>48</v>
      </c>
    </row>
    <row r="15" spans="1:8">
      <c r="A15" s="3" t="s">
        <v>488</v>
      </c>
      <c r="B15" s="3" t="s">
        <v>2344</v>
      </c>
      <c r="C15" s="3">
        <f>IF(H15&gt;E8, E8, H15)</f>
        <v>46.2</v>
      </c>
      <c r="D15" s="3">
        <v>0</v>
      </c>
      <c r="E15" s="3">
        <f>IF(H15&gt;$F$8, $F$8-$E$8, IF(H15&gt;$E$8, H15-$E$8, 0))</f>
        <v>0</v>
      </c>
      <c r="F15" s="3">
        <f>IF(H15&gt;$F$8, H15-$F$8, 0)</f>
        <v>0</v>
      </c>
      <c r="H15" s="3">
        <f>'Wrist Load Analysis'!R26</f>
        <v>46.2</v>
      </c>
    </row>
    <row r="16" spans="1:8">
      <c r="B16" s="3" t="s">
        <v>1618</v>
      </c>
      <c r="C16" s="3">
        <f>IF(H16&gt;E8, E8, H16)</f>
        <v>45.1</v>
      </c>
      <c r="D16" s="3">
        <v>0</v>
      </c>
      <c r="E16" s="3">
        <f>IF(H16&gt;$F$8, $F$8-$E$8, IF(H16&gt;$E$8, H16-$E$8, 0))</f>
        <v>0</v>
      </c>
      <c r="F16" s="3">
        <f>IF(H16&gt;$F$8, H16-$F$8, 0)</f>
        <v>0</v>
      </c>
      <c r="H16" s="3">
        <f>'Wrist Load Analysis'!R27</f>
        <v>45.1</v>
      </c>
    </row>
    <row r="17" spans="1:16">
      <c r="B17" s="3" t="str">
        <f>IF(Axis_Count=1,"","J6")</f>
        <v>J6</v>
      </c>
      <c r="C17" s="3">
        <f>IF(H17&gt;E8, E8, H17)</f>
        <v>62.2</v>
      </c>
      <c r="D17" s="3">
        <v>0</v>
      </c>
      <c r="E17" s="3">
        <f>IF(H17&gt;$F$8, $F$8-$E$8, IF(H17&gt;$E$8, H17-$E$8, 0))</f>
        <v>0</v>
      </c>
      <c r="F17" s="3">
        <f>IF(H17&gt;$F$8, H17-$F$8, 0)</f>
        <v>0</v>
      </c>
      <c r="H17" s="3">
        <f>'Wrist Load Analysis'!R28</f>
        <v>62.2</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666.82547055827138</v>
      </c>
      <c r="G25" s="209">
        <f>'Wrist Load Analysis'!R10</f>
        <v>65.132412718319557</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666.82547055827138</v>
      </c>
      <c r="G29" s="209">
        <f>'Wrist Load Analysis'!R11</f>
        <v>63.521448137819888</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344.24404790439507</v>
      </c>
      <c r="G33" s="209">
        <f>'Wrist Load Analysis'!R12</f>
        <v>48.704120543158183</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2016-12-07T00:32:42Z</cp:lastPrinted>
  <dcterms:created xsi:type="dcterms:W3CDTF">1999-12-01T08:04:04Z</dcterms:created>
  <dcterms:modified xsi:type="dcterms:W3CDTF">2016-12-07T00:32:49Z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