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3\LTVL\"/>
    </mc:Choice>
  </mc:AlternateContent>
  <bookViews>
    <workbookView xWindow="0" yWindow="0" windowWidth="28800" windowHeight="12435" tabRatio="798" activeTab="2"/>
  </bookViews>
  <sheets>
    <sheet name="Blatt 0" sheetId="1" r:id="rId1"/>
    <sheet name="Blatt_1_1180R01" sheetId="39" r:id="rId2"/>
    <sheet name="Blatt_2_1180R01" sheetId="38" r:id="rId3"/>
    <sheet name="Punktplan LTVL_1_1180R01" sheetId="14" r:id="rId4"/>
    <sheet name="Materialliste" sheetId="21" r:id="rId5"/>
    <sheet name="Motordaten" sheetId="25" r:id="rId6"/>
    <sheet name="Hinweise (Notes)" sheetId="19" r:id="rId7"/>
    <sheet name="Änderungshistorie" sheetId="30" r:id="rId8"/>
  </sheets>
  <definedNames>
    <definedName name="_xlnm._FilterDatabase" localSheetId="3" hidden="1">'Punktplan LTVL_1_1180R01'!$M$19:$M$32</definedName>
    <definedName name="_xlnm.Print_Area" localSheetId="0">'Blatt 0'!$A$1:$AK$60</definedName>
    <definedName name="_xlnm.Print_Area" localSheetId="1">Blatt_1_1180R01!$A$1:$AK$60</definedName>
    <definedName name="_xlnm.Print_Area" localSheetId="2">Blatt_2_1180R01!$A$1:$AK$60</definedName>
    <definedName name="_xlnm.Print_Area" localSheetId="3">'Punktplan LTVL_1_1180R01'!$A$1:$BB$58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9" l="1"/>
  <c r="X59" i="39"/>
  <c r="O59" i="39"/>
  <c r="B59" i="39"/>
  <c r="AF58" i="39"/>
  <c r="AA57" i="39"/>
  <c r="X57" i="39"/>
  <c r="O57" i="39"/>
  <c r="AB55" i="39"/>
  <c r="X55" i="39"/>
  <c r="AB54" i="39"/>
  <c r="AH53" i="39"/>
  <c r="AA59" i="38"/>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9" s="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<sst xmlns="http://schemas.openxmlformats.org/spreadsheetml/2006/main" count="2257" uniqueCount="1951">
  <si>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</si>
  <si>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</si>
  <si>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</si>
  <si>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</si>
  <si>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</si>
  <si>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</si>
  <si>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</si>
  <si>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</si>
  <si>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</si>
  <si>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</si>
  <si>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</si>
  <si>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</si>
  <si>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</si>
  <si>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</si>
  <si>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</si>
  <si>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</si>
  <si>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</si>
  <si>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</si>
  <si>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</si>
  <si>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</si>
  <si>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</si>
  <si>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</si>
  <si>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</si>
  <si>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</si>
  <si>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</si>
  <si>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</si>
  <si>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</si>
  <si>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</si>
  <si>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</si>
  <si>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</si>
  <si>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</si>
  <si>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</si>
  <si>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</si>
  <si>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</si>
  <si>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</si>
  <si>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</si>
  <si>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</si>
  <si>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</si>
  <si>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</si>
  <si>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</si>
  <si>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</si>
  <si>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</si>
  <si>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</si>
  <si>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</si>
  <si>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</si>
  <si>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</si>
  <si>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</si>
  <si>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</si>
  <si>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</si>
  <si>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</si>
  <si>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</si>
  <si>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</si>
  <si>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</si>
  <si>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</si>
  <si>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</si>
  <si>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</si>
  <si>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</si>
  <si>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</si>
  <si>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</si>
  <si>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</si>
  <si>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</si>
  <si>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</si>
  <si>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</si>
  <si>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</si>
  <si>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</si>
  <si>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</si>
  <si>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</si>
  <si>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</si>
  <si>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</si>
  <si>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</si>
  <si>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</si>
  <si>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</si>
  <si>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</si>
  <si>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</si>
  <si>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</si>
  <si>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</si>
  <si>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</si>
  <si>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</si>
  <si>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</si>
  <si>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</si>
  <si>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</si>
  <si>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</si>
  <si>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</si>
  <si>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</si>
  <si>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</si>
  <si>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</si>
  <si>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</si>
  <si>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</si>
  <si>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</si>
  <si>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</si>
  <si>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</si>
  <si>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</si>
  <si>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</si>
  <si>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</si>
  <si>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</si>
  <si>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</si>
  <si>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</si>
  <si>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</si>
  <si>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</si>
  <si>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</si>
  <si>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</si>
  <si>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</si>
  <si>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</si>
  <si>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</si>
  <si>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</si>
  <si>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</si>
  <si>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</si>
  <si>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</si>
  <si>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</si>
  <si>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</si>
  <si>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</si>
  <si>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</si>
  <si>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</si>
  <si>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</si>
  <si>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</si>
  <si>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</si>
  <si>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</si>
  <si>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</si>
  <si>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</si>
  <si>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</si>
  <si>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</si>
  <si>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</si>
  <si>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</si>
  <si>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</si>
  <si>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</si>
  <si>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</si>
  <si>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</si>
  <si>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</si>
  <si>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</si>
  <si>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</si>
  <si>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</si>
  <si>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</si>
  <si>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</si>
  <si>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</si>
  <si>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</si>
  <si>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</si>
  <si>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</si>
  <si>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</si>
  <si>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</si>
  <si>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</si>
  <si>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</si>
  <si>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</si>
  <si>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</si>
  <si>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</si>
  <si>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</si>
  <si>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</si>
  <si>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</si>
  <si>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</si>
  <si>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</si>
  <si>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</si>
  <si>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</si>
  <si>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</si>
  <si>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</si>
  <si>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</si>
  <si>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</si>
  <si>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</si>
  <si>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</si>
  <si>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</si>
  <si>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</si>
  <si>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</si>
  <si>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</si>
  <si>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</si>
  <si>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</si>
  <si>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</si>
  <si>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</si>
  <si>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</si>
  <si>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</si>
  <si>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</si>
  <si>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</si>
  <si>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</si>
  <si>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</si>
  <si>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</si>
  <si>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</si>
  <si>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</si>
  <si>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</si>
  <si>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</si>
  <si>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</si>
  <si>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</si>
  <si>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</si>
  <si>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</si>
  <si>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</si>
  <si>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</si>
  <si>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</si>
  <si>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</si>
  <si>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</si>
  <si>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</si>
  <si>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</si>
  <si>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</si>
  <si>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</si>
  <si>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</si>
  <si>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</si>
  <si>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</si>
  <si>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</si>
  <si>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</si>
  <si>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</si>
  <si>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</si>
  <si>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</si>
  <si>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</si>
  <si>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</si>
  <si>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</si>
  <si>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</si>
  <si>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</si>
  <si>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</si>
  <si>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</si>
  <si>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</si>
  <si>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</si>
  <si>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</si>
  <si>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</si>
  <si>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</si>
  <si>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</si>
  <si>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</si>
  <si>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</si>
  <si>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</si>
  <si>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</si>
  <si>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</si>
  <si>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</si>
  <si>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</si>
  <si>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</si>
  <si>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</si>
  <si>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</si>
  <si>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</si>
  <si>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</si>
  <si>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</si>
  <si>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</si>
  <si>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</si>
  <si>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</si>
  <si>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</si>
  <si>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</si>
  <si>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</si>
  <si>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</si>
  <si>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</si>
  <si>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</si>
  <si>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</si>
  <si>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</si>
  <si>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</si>
  <si>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</si>
  <si>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</si>
  <si>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</si>
  <si>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</si>
  <si>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</si>
  <si>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</si>
  <si>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</si>
  <si>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</si>
  <si>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</si>
  <si>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</si>
  <si>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</si>
  <si>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</si>
  <si>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</si>
  <si>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</si>
  <si>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</si>
  <si>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</si>
  <si>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</si>
  <si>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</si>
  <si>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</si>
  <si>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</si>
  <si>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</si>
  <si>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</si>
  <si>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</si>
  <si>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</si>
  <si>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</si>
  <si>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</si>
  <si>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</si>
  <si>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</si>
  <si>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</si>
  <si>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</si>
  <si>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</si>
  <si>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</si>
  <si>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</si>
  <si>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</si>
  <si>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</si>
  <si>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</si>
  <si>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</si>
  <si>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</si>
  <si>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</si>
  <si>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</si>
  <si>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</si>
  <si>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</si>
  <si>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</si>
  <si>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</si>
  <si>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</si>
  <si>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</si>
  <si>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</si>
  <si>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</si>
  <si>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</si>
  <si>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</si>
  <si>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</si>
  <si>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</si>
  <si>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</si>
  <si>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</si>
  <si>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</si>
  <si>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</si>
  <si>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</si>
  <si>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</si>
  <si>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</si>
  <si>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</si>
  <si>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</si>
  <si>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</si>
  <si>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</si>
  <si>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</si>
  <si>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</si>
  <si>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</si>
  <si>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</si>
  <si>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</si>
  <si>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</si>
  <si>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</si>
  <si>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</si>
  <si>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</si>
  <si>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</si>
  <si>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</si>
  <si>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</si>
  <si>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</si>
  <si>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</si>
  <si>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</si>
  <si>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</si>
  <si>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</si>
  <si>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</si>
  <si>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</si>
  <si>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</si>
  <si>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</si>
  <si>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</si>
  <si>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</si>
  <si>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</si>
  <si>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</si>
  <si>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</si>
  <si>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</si>
  <si>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</si>
  <si>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</si>
  <si>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</si>
  <si>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</si>
  <si>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</si>
  <si>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</si>
  <si>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</si>
  <si>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</si>
  <si>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</si>
  <si>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</si>
  <si>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</si>
  <si>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</si>
  <si>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</si>
  <si>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</si>
  <si>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</si>
  <si>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</si>
  <si>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</si>
  <si>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</si>
  <si>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</si>
  <si>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</si>
  <si>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</si>
  <si>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</si>
  <si>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</si>
  <si>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</si>
  <si>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</si>
  <si>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</si>
  <si>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</si>
  <si>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</si>
  <si>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</si>
  <si>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</si>
  <si>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</si>
  <si>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</si>
  <si>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</si>
  <si>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</si>
  <si>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</si>
  <si>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</si>
  <si>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</si>
  <si>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</si>
  <si>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</si>
  <si>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</si>
  <si>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</si>
  <si>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</si>
  <si>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</si>
  <si>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</si>
  <si>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</si>
  <si>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</si>
  <si>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</si>
  <si>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</si>
  <si>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</si>
  <si>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</si>
  <si>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</si>
  <si>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</si>
  <si>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</si>
  <si>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</si>
  <si>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</si>
  <si>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</si>
  <si>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</si>
  <si>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</si>
  <si>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</si>
  <si>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</si>
  <si>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</si>
  <si>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</si>
  <si>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</si>
  <si>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</si>
  <si>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</si>
  <si>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</si>
  <si>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</si>
  <si>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</si>
  <si>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</si>
  <si>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</si>
  <si>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</si>
  <si>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</si>
  <si>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</si>
  <si>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</si>
  <si>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</si>
  <si>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</si>
  <si>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</si>
  <si>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</si>
  <si>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</si>
  <si>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</si>
  <si>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</si>
  <si>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</si>
  <si>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</si>
  <si>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</si>
  <si>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</si>
  <si>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</si>
  <si>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</si>
  <si>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</si>
  <si>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</si>
  <si>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</si>
  <si>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</si>
  <si>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</si>
  <si>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</si>
  <si>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</si>
  <si>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</si>
  <si>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</si>
  <si>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</si>
  <si>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</si>
  <si>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</si>
  <si>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</si>
  <si>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</si>
  <si>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</si>
  <si>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</si>
  <si>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</si>
  <si>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</si>
  <si>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</si>
  <si>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</si>
  <si>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</si>
  <si>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</si>
  <si>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</si>
  <si>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</si>
  <si>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</si>
  <si>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</si>
  <si>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</si>
  <si>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</si>
  <si>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</si>
  <si>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</si>
  <si>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</si>
  <si>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</si>
  <si>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</si>
  <si>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</si>
  <si>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</si>
  <si>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</si>
  <si>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</si>
  <si>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</si>
  <si>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</si>
  <si>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</si>
  <si>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</si>
  <si>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</si>
  <si>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</si>
  <si>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</si>
  <si>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</si>
  <si>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</si>
  <si>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</si>
  <si>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</si>
  <si>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</si>
  <si>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</si>
  <si>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</si>
  <si>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</si>
  <si>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</si>
  <si>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</si>
  <si>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</si>
  <si>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</si>
  <si>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</si>
  <si>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</si>
  <si>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</si>
  <si>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</si>
  <si>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</si>
  <si>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</si>
  <si>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</si>
  <si>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</si>
  <si>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</si>
  <si>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</si>
  <si>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</si>
  <si>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</si>
  <si>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</si>
  <si>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</si>
  <si>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</si>
  <si>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</si>
  <si>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</si>
  <si>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</si>
  <si>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</si>
  <si>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</si>
  <si>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</si>
  <si>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</si>
  <si>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</si>
  <si>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</si>
  <si>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</si>
  <si>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</si>
  <si>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</si>
  <si>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</si>
  <si>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</si>
  <si>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</si>
  <si>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</si>
  <si>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</si>
  <si>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</si>
  <si>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</si>
  <si>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</si>
  <si>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</si>
  <si>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</si>
  <si>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</si>
  <si>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</si>
  <si>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</si>
  <si>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</si>
  <si>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</si>
  <si>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</si>
  <si>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</si>
  <si>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</si>
  <si>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</si>
  <si>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</si>
  <si>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</si>
  <si>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</si>
  <si>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</si>
  <si>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</si>
  <si>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</si>
  <si>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</si>
  <si>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</si>
  <si>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</si>
  <si>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</si>
  <si>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</si>
  <si>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</si>
  <si>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</si>
  <si>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</si>
  <si>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</si>
  <si>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</si>
  <si>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</si>
  <si>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</si>
  <si>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</si>
  <si>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</si>
  <si>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</si>
  <si>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</si>
  <si>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</si>
  <si>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</si>
  <si>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</si>
  <si>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</si>
  <si>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</si>
  <si>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</si>
  <si>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</si>
  <si>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</si>
  <si>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</si>
  <si>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</si>
  <si>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</si>
  <si>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</si>
  <si>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</si>
  <si>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</si>
  <si>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</si>
  <si>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</si>
  <si>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</si>
  <si>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</si>
  <si>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</si>
  <si>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</si>
  <si>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</si>
  <si>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</si>
  <si>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</si>
  <si>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</si>
  <si>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</si>
  <si>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</si>
  <si>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</si>
  <si>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</si>
  <si>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</si>
  <si>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</si>
  <si>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</si>
  <si>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</si>
  <si>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</si>
  <si>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</si>
  <si>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</si>
  <si>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</si>
  <si>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</si>
  <si>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</si>
  <si>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</si>
  <si>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</si>
  <si>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</si>
  <si>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</si>
  <si>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</si>
  <si>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</si>
  <si>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</si>
  <si>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</si>
  <si>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</si>
  <si>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</si>
  <si>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</si>
  <si>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</si>
  <si>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</si>
  <si>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</si>
  <si>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</si>
  <si>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</si>
  <si>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</si>
  <si>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</si>
  <si>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</si>
  <si>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</si>
  <si>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</si>
  <si>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</si>
  <si>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</si>
  <si>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</si>
  <si>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</si>
  <si>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</si>
  <si>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</si>
  <si>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</si>
  <si>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</si>
  <si>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</si>
  <si>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</si>
  <si>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</si>
  <si>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</si>
  <si>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</si>
  <si>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</si>
  <si>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</si>
  <si>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</si>
  <si>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</si>
  <si>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</si>
  <si>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</si>
  <si>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</si>
  <si>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</si>
  <si>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</si>
  <si>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</si>
  <si>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</si>
  <si>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</si>
  <si>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</si>
  <si>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</si>
  <si>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</si>
  <si>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</si>
  <si>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</si>
  <si>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</si>
  <si>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</si>
  <si>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</si>
  <si>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</si>
  <si>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</si>
  <si>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</si>
  <si>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</si>
  <si>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</si>
  <si>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</si>
  <si>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</si>
  <si>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</si>
  <si>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</si>
  <si>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</si>
  <si>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</si>
  <si>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</si>
  <si>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</si>
  <si>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</si>
  <si>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</si>
  <si>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</si>
  <si>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</si>
  <si>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</si>
  <si>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</si>
  <si>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</si>
  <si>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</si>
  <si>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</si>
  <si>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</si>
  <si>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</si>
  <si>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</si>
  <si>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</si>
  <si>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</si>
  <si>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</si>
  <si>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</si>
  <si>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</si>
  <si>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</si>
  <si>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</si>
  <si>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</si>
  <si>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</si>
  <si>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</si>
  <si>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</si>
  <si>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</si>
  <si>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</si>
  <si>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</si>
  <si>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</si>
  <si>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</si>
  <si>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</si>
  <si>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</si>
  <si>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</si>
  <si>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</si>
  <si>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</si>
  <si>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</si>
  <si>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</si>
  <si>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</si>
  <si>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</si>
  <si>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</si>
  <si>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</si>
  <si>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</si>
  <si>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</si>
  <si>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</si>
  <si>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</si>
  <si>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</si>
  <si>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</si>
  <si>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</si>
  <si>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</si>
  <si>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</si>
  <si>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</si>
  <si>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</si>
  <si>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</si>
  <si>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</si>
  <si>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</si>
  <si>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</si>
  <si>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</si>
  <si>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</si>
  <si>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</si>
  <si>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</si>
  <si>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</si>
  <si>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</si>
  <si>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</si>
  <si>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</si>
  <si>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</si>
  <si>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</si>
  <si>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</si>
  <si>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</si>
  <si>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</si>
  <si>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</si>
  <si>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</si>
  <si>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</si>
  <si>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</si>
  <si>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</si>
  <si>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</si>
  <si>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</si>
  <si>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</si>
  <si>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</si>
  <si>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</si>
  <si>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</si>
  <si>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</si>
  <si>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</si>
  <si>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</si>
  <si>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</si>
  <si>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</si>
  <si>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</si>
  <si>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</si>
  <si>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</si>
  <si>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</si>
  <si>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</si>
  <si>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</si>
  <si>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</si>
  <si>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</si>
  <si>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</si>
  <si>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</si>
  <si>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</si>
  <si>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</si>
  <si>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</si>
  <si>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</si>
  <si>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</si>
  <si>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</si>
  <si>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</si>
  <si>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</si>
  <si>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</si>
  <si>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</si>
  <si>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</si>
  <si>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</si>
  <si>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</si>
  <si>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</si>
  <si>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</si>
  <si>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</si>
  <si>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</si>
  <si>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</si>
  <si>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</si>
  <si>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</si>
  <si>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</si>
  <si>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</si>
  <si>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</si>
  <si>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</si>
  <si>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</si>
  <si>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</si>
  <si>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</si>
  <si>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</si>
  <si>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</si>
  <si>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</si>
  <si>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</si>
  <si>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</si>
  <si>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</si>
  <si>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</si>
  <si>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</si>
  <si>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</si>
  <si>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</si>
  <si>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</si>
  <si>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</si>
  <si>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</si>
  <si>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</si>
  <si>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</si>
  <si>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</si>
  <si>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</si>
  <si>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</si>
  <si>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</si>
  <si>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</si>
  <si>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</si>
  <si>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</si>
  <si>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</si>
  <si>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</si>
  <si>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</si>
  <si>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</si>
  <si>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</si>
  <si>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</si>
  <si>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</si>
  <si>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</si>
  <si>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</si>
  <si>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</si>
  <si>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</si>
  <si>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</si>
  <si>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</si>
  <si>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</si>
  <si>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</si>
  <si>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</si>
  <si>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</si>
  <si>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</si>
  <si>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</si>
  <si>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</si>
  <si>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</si>
  <si>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</si>
  <si>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</si>
  <si>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</si>
  <si>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</si>
  <si>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</si>
  <si>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</si>
  <si>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</si>
  <si>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</si>
  <si>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</si>
  <si>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</si>
  <si>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</si>
  <si>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</si>
  <si>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</si>
  <si>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</si>
  <si>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</si>
  <si>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</si>
  <si>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</si>
  <si>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</si>
  <si>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</si>
  <si>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</si>
  <si>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</si>
  <si>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</si>
  <si>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</si>
  <si>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</si>
  <si>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</si>
  <si>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</si>
  <si>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</si>
  <si>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</si>
  <si>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</si>
  <si>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</si>
  <si>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</si>
  <si>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</si>
  <si>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</si>
  <si>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</si>
  <si>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</si>
  <si>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</si>
  <si>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</si>
  <si>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</si>
  <si>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</si>
  <si>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</si>
  <si>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</si>
  <si>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</si>
  <si>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</si>
  <si>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</si>
  <si>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</si>
  <si>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</si>
  <si>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</si>
  <si>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</si>
  <si>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</si>
  <si>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</si>
  <si>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</si>
  <si>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</si>
  <si>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</si>
  <si>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</si>
  <si>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</si>
  <si>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</si>
  <si>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</si>
  <si>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</si>
  <si>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</si>
  <si>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</si>
  <si>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</si>
  <si>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</si>
  <si>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</si>
  <si>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</si>
  <si>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</si>
  <si>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</si>
  <si>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</si>
  <si>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</si>
  <si>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</si>
  <si>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</si>
  <si>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</si>
  <si>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</si>
  <si>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</si>
  <si>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</si>
  <si>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</si>
  <si>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</si>
  <si>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</si>
  <si>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</si>
  <si>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</si>
  <si>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</si>
  <si>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</si>
  <si>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</si>
  <si>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</si>
  <si>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</si>
  <si>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</si>
  <si>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</si>
  <si>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</si>
  <si>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</si>
  <si>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</si>
  <si>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</si>
  <si>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</si>
  <si>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</si>
  <si>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</si>
  <si>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</si>
  <si>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</si>
  <si>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</si>
  <si>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</si>
  <si>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</si>
  <si>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</si>
  <si>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</si>
  <si>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</si>
  <si>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</si>
  <si>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</si>
  <si>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</si>
  <si>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</si>
  <si>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</si>
  <si>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</si>
  <si>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</si>
  <si>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</si>
  <si>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</si>
  <si>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</si>
  <si>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</si>
  <si>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</si>
  <si>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</si>
  <si>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</si>
  <si>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</si>
  <si>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</si>
  <si>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</si>
  <si>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</si>
  <si>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</si>
  <si>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</si>
  <si>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</si>
  <si>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</si>
  <si>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</si>
  <si>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</si>
  <si>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</si>
  <si>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</si>
  <si>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</si>
  <si>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</si>
  <si>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</si>
  <si>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</si>
  <si>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</si>
  <si>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</si>
  <si>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</si>
  <si>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</si>
  <si>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</si>
  <si>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</si>
  <si>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</si>
  <si>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</si>
  <si>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</si>
  <si>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</si>
  <si>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</si>
  <si>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</si>
  <si>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</si>
  <si>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</si>
  <si>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</si>
  <si>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</si>
  <si>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</si>
  <si>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</si>
  <si>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</si>
  <si>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</si>
  <si>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</si>
  <si>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</si>
  <si>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</si>
  <si>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</si>
  <si>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</si>
  <si>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</si>
  <si>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</si>
  <si>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</si>
  <si>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</si>
  <si>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</si>
  <si>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</si>
  <si>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</si>
  <si>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</si>
  <si>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</si>
  <si>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</si>
  <si>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</si>
  <si>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</si>
  <si>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</si>
  <si>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</si>
  <si>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</si>
  <si>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</si>
  <si>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</si>
  <si>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</si>
  <si>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</si>
  <si>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</si>
  <si>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</si>
  <si>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</si>
  <si>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</si>
  <si>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</si>
  <si>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</si>
  <si>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</si>
  <si>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</si>
  <si>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</si>
  <si>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</si>
  <si>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</si>
  <si>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</si>
  <si>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</si>
  <si>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</si>
  <si>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</si>
  <si>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</si>
  <si>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</si>
  <si>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</si>
  <si>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</si>
  <si>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</si>
  <si>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</si>
  <si>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</si>
  <si>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</si>
  <si>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</si>
  <si>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</si>
  <si>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</si>
  <si>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</si>
  <si>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</si>
  <si>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</si>
  <si>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</si>
  <si>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</si>
  <si>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</si>
  <si>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</si>
  <si>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</si>
  <si>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</si>
  <si>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</si>
  <si>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</si>
  <si>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</si>
  <si>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</si>
  <si>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</si>
  <si>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</si>
  <si>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</si>
  <si>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</si>
  <si>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</si>
  <si>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</si>
  <si>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</si>
  <si>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</si>
  <si>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</si>
  <si>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</si>
  <si>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</si>
  <si>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</si>
  <si>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</si>
  <si>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</si>
  <si>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</si>
  <si>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</si>
  <si>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</si>
  <si>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</si>
  <si>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</si>
  <si>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</si>
  <si>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</si>
  <si>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</si>
  <si>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</si>
  <si>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</si>
  <si>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</si>
  <si>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</si>
  <si>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</si>
  <si>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</si>
  <si>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</si>
  <si>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</si>
  <si>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</si>
  <si>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</si>
  <si>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</si>
  <si>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</si>
  <si>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</si>
  <si>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</si>
  <si>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</si>
  <si>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</si>
  <si>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</si>
  <si>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</si>
  <si>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</si>
  <si>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</si>
  <si>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</si>
  <si>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</si>
  <si>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</si>
  <si>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</si>
  <si>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</si>
  <si>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</si>
  <si>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</si>
  <si>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</si>
  <si>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</si>
  <si>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</si>
  <si>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</si>
  <si>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</si>
  <si>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</si>
  <si>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</si>
  <si>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</si>
  <si>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</si>
  <si>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</si>
  <si>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</si>
  <si>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</si>
  <si>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</si>
  <si>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</si>
  <si>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</si>
  <si>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</si>
  <si>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</si>
  <si>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</si>
  <si>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</si>
  <si>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</si>
  <si>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</si>
  <si>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</si>
  <si>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</si>
  <si>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</si>
  <si>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</si>
  <si>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</si>
  <si>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</si>
  <si>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</si>
  <si>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</si>
  <si>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</si>
  <si>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</si>
  <si>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</si>
  <si>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</si>
  <si>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</si>
  <si>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</si>
  <si>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</si>
  <si>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</si>
  <si>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</si>
  <si>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</si>
  <si>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</si>
  <si>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</si>
  <si>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</si>
  <si>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</si>
  <si>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</si>
  <si>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</si>
  <si>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</si>
  <si>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</si>
  <si>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</si>
  <si>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</si>
  <si>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</si>
  <si>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</si>
  <si>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</si>
  <si>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</si>
  <si>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</si>
  <si>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</si>
  <si>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</si>
  <si>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</si>
  <si>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</si>
  <si>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</si>
  <si>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</si>
  <si>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</si>
  <si>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</si>
  <si>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</si>
  <si>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</si>
  <si>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</si>
  <si>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</si>
  <si>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</si>
  <si>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</si>
  <si>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</si>
  <si>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</si>
  <si>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</si>
  <si>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</si>
  <si>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</si>
  <si>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</si>
  <si>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</si>
  <si>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</si>
  <si>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</si>
  <si>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</si>
  <si>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</si>
  <si>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</si>
  <si>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</si>
  <si>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</si>
  <si>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</si>
  <si>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</si>
  <si>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</si>
  <si>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</si>
  <si>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</si>
  <si>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</si>
  <si>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</si>
  <si>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</si>
  <si>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</si>
  <si>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</si>
  <si>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</si>
  <si>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</si>
  <si>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</si>
  <si>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</si>
  <si>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</si>
  <si>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</si>
  <si>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</si>
  <si>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</si>
  <si>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</si>
  <si>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</si>
  <si>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</si>
  <si>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</si>
  <si>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</si>
  <si>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</si>
  <si>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</si>
  <si>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</si>
  <si>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</si>
  <si>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</si>
  <si>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</si>
  <si>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</si>
  <si>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</si>
  <si>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</si>
  <si>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</si>
  <si>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</si>
  <si>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</si>
  <si>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</si>
  <si>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</si>
  <si>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</si>
  <si>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</si>
  <si>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</si>
  <si>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</si>
  <si>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</si>
  <si>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</si>
  <si>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</si>
  <si>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</si>
  <si>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</si>
  <si>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</si>
  <si>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</si>
  <si>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</si>
  <si>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</si>
  <si>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</si>
  <si>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</si>
  <si>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</si>
  <si>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</si>
  <si>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</si>
  <si>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</si>
  <si>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</si>
  <si>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</si>
  <si>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</si>
  <si>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</si>
  <si>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</si>
  <si>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</si>
  <si>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</si>
  <si>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</si>
  <si>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</si>
  <si>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</si>
  <si>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</si>
  <si>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</si>
  <si>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</si>
  <si>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</si>
  <si>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</si>
  <si>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</si>
  <si>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</si>
  <si>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</si>
  <si>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</si>
  <si>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</si>
  <si>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</si>
  <si>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</si>
  <si>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</si>
  <si>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</si>
  <si>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</si>
  <si>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</si>
  <si>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</si>
  <si>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</si>
  <si>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</si>
  <si>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</si>
  <si>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</si>
  <si>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</si>
  <si>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</si>
  <si>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</si>
  <si>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</si>
  <si>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</si>
  <si>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</si>
  <si>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</si>
  <si>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</si>
  <si>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</si>
  <si>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</si>
  <si>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</si>
  <si>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</si>
  <si>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</si>
  <si>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</si>
  <si>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</si>
  <si>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</si>
  <si>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</si>
  <si>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</si>
  <si>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</si>
  <si>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</si>
  <si>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</si>
  <si>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</si>
  <si>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</si>
  <si>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</si>
  <si>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</si>
  <si>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</si>
  <si>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</si>
  <si>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</si>
  <si>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</si>
  <si>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</si>
  <si>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</si>
  <si>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</si>
  <si>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</si>
  <si>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</si>
  <si>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</si>
  <si>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</si>
  <si>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</si>
  <si>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</si>
  <si>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</si>
  <si>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</si>
  <si>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</si>
  <si>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</si>
  <si>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</si>
  <si>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</si>
  <si>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</si>
  <si>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</si>
  <si>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</si>
  <si>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</si>
  <si>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</si>
  <si>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</si>
  <si>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</si>
  <si>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</si>
  <si>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</si>
  <si>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</si>
  <si>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</si>
  <si>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</si>
  <si>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</si>
  <si>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</si>
  <si>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</si>
  <si>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</si>
  <si>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</si>
  <si>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</si>
  <si>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</si>
  <si>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</si>
  <si>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</si>
  <si>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</si>
  <si>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</si>
  <si>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</si>
  <si>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</si>
  <si>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</si>
  <si>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</si>
  <si>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</si>
  <si>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</si>
  <si>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</si>
  <si>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</si>
  <si>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</si>
  <si>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</si>
  <si>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</si>
  <si>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</si>
  <si>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</si>
  <si>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</si>
  <si>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</si>
  <si>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</si>
  <si>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</si>
  <si>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</si>
  <si>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</si>
  <si>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</si>
  <si>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</si>
  <si>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</si>
  <si>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</si>
  <si>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</si>
  <si>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</si>
  <si>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</si>
  <si>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</si>
  <si>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</si>
  <si>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</si>
  <si>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</si>
  <si>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</si>
  <si>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</si>
  <si>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</si>
  <si>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</si>
  <si>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</si>
  <si>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</si>
  <si>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</si>
  <si>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</si>
  <si>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</si>
  <si>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</si>
  <si>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</si>
  <si>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</si>
  <si>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</si>
  <si>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</si>
  <si>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</si>
  <si>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</si>
  <si>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</si>
  <si>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</si>
  <si>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</si>
  <si>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</si>
  <si>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</si>
  <si>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</si>
  <si>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</si>
  <si>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</si>
  <si>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</si>
  <si>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</si>
  <si>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</si>
  <si>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</si>
  <si>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</si>
  <si>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</si>
  <si>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</si>
  <si>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</si>
  <si>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</si>
  <si>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</si>
  <si>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</si>
  <si>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</si>
  <si>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</si>
  <si>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</si>
  <si>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</si>
  <si>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</si>
  <si>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</si>
  <si>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</si>
  <si>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</si>
  <si>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</si>
  <si>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</si>
  <si>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</si>
  <si>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</si>
  <si>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</si>
  <si>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</si>
  <si>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</si>
  <si>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</si>
  <si>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</si>
  <si>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</si>
  <si>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</si>
  <si>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</si>
  <si>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</si>
  <si>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</si>
  <si>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</si>
  <si>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</si>
  <si>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</si>
  <si>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</si>
  <si>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</si>
  <si>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</si>
  <si>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</si>
  <si>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</si>
  <si>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</si>
  <si>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</si>
  <si>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</si>
  <si>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</si>
  <si>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</si>
  <si>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</si>
  <si>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</si>
  <si>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</si>
  <si>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</si>
  <si>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</si>
  <si>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</si>
  <si>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</si>
  <si>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</si>
  <si>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</si>
  <si>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</si>
  <si>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</si>
  <si>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</si>
  <si>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</si>
  <si>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</si>
  <si>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</si>
  <si>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</si>
  <si>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</si>
  <si>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</si>
  <si>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</si>
  <si>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</si>
  <si>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</si>
  <si>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</si>
  <si>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</si>
  <si>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</si>
  <si>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</si>
  <si>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</si>
  <si>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</si>
  <si>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</si>
  <si>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</si>
  <si>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</si>
  <si>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</si>
  <si>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</si>
  <si>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</si>
  <si>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</si>
  <si>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</si>
  <si>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</si>
  <si>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</si>
  <si>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</si>
  <si>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</si>
  <si>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</si>
  <si>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</si>
  <si>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</si>
  <si>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</si>
  <si>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</si>
  <si>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</si>
  <si>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</si>
  <si>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</si>
  <si>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</si>
  <si>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</si>
  <si>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</si>
  <si>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</si>
  <si>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</si>
  <si>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</si>
  <si>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</si>
  <si>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</si>
  <si>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</si>
  <si>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</si>
  <si>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</si>
  <si>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</si>
  <si>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</si>
  <si>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</si>
  <si>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</si>
  <si>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</si>
  <si>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</si>
  <si>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</si>
  <si>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</si>
  <si>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</si>
  <si>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</si>
  <si>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</si>
  <si>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</si>
  <si>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</si>
  <si>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</si>
  <si>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</si>
  <si>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</si>
  <si>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</si>
  <si>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</si>
  <si>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</si>
  <si>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</si>
  <si>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</si>
  <si>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</si>
  <si>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</si>
  <si>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</si>
  <si>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</si>
  <si>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</si>
  <si>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</si>
  <si>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</si>
  <si>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</si>
  <si>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</si>
  <si>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</si>
  <si>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</si>
  <si>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</si>
  <si>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</si>
  <si>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</si>
  <si>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</si>
  <si>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</si>
  <si>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</si>
  <si>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</si>
  <si>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</si>
  <si>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</si>
  <si>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</si>
  <si>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</si>
  <si>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</si>
  <si>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</si>
  <si>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</si>
  <si>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</si>
  <si>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</si>
  <si>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</si>
  <si>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</si>
  <si>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</si>
  <si>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</si>
  <si>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</si>
  <si>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</si>
  <si>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</si>
  <si>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</si>
  <si>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</si>
  <si>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</si>
  <si>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</si>
  <si>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</si>
  <si>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</si>
  <si>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</si>
  <si>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</si>
  <si>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</si>
  <si>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</si>
  <si>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</si>
  <si>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</si>
  <si>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</si>
  <si>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</si>
  <si>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</si>
  <si>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</si>
  <si>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</si>
  <si>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</si>
  <si>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</si>
  <si>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</si>
  <si>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</si>
  <si>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</si>
  <si>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</si>
  <si>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</si>
  <si>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</si>
  <si>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</si>
  <si>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</si>
  <si>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</si>
  <si>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</si>
  <si>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</si>
  <si>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</si>
  <si>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</si>
  <si>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</si>
  <si>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</si>
  <si>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</si>
  <si>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</si>
  <si>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</si>
  <si>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</si>
  <si>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</si>
  <si>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</si>
  <si>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</si>
  <si>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</si>
  <si>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</si>
  <si>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</si>
  <si>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</si>
  <si>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</si>
  <si>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</si>
  <si>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</si>
  <si>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</si>
  <si>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</si>
  <si>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</si>
  <si>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</si>
  <si>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</si>
  <si>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</si>
  <si>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</si>
  <si>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</si>
  <si>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</si>
  <si>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</si>
  <si>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</si>
  <si>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</si>
  <si>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</si>
  <si>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</si>
  <si>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</si>
  <si>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</si>
  <si>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</si>
  <si>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</si>
  <si>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</si>
  <si>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</si>
  <si>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</si>
  <si>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</si>
  <si>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</si>
  <si>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</si>
  <si>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</si>
  <si>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</si>
  <si>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</si>
  <si>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</si>
  <si>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</si>
  <si>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</si>
  <si>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</si>
  <si>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</si>
  <si>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</si>
  <si>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</si>
  <si>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</si>
  <si>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</si>
  <si>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</si>
  <si>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</si>
  <si>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</si>
  <si>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</si>
  <si>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</si>
  <si>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</si>
  <si>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</si>
  <si>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</si>
  <si>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</si>
  <si>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</si>
  <si>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</si>
  <si>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</si>
  <si>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</si>
  <si>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</si>
  <si>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</si>
  <si>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</si>
  <si>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</si>
  <si>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</si>
  <si>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</si>
  <si>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</si>
  <si>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</si>
  <si>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</si>
  <si>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</si>
  <si>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</si>
  <si>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</si>
  <si>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</si>
  <si>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</si>
  <si>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</si>
  <si>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</si>
  <si>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</si>
  <si>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</si>
  <si>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</si>
  <si>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</si>
  <si>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</si>
  <si>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</si>
  <si>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</si>
  <si>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</si>
  <si>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</si>
  <si>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</si>
  <si>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</si>
  <si>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</si>
  <si>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</si>
  <si>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</si>
  <si>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</si>
  <si>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</si>
  <si>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</si>
  <si>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</si>
  <si>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</si>
  <si>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</si>
  <si>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</si>
  <si>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</si>
  <si>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</si>
  <si>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</si>
  <si>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</si>
  <si>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</si>
  <si>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</si>
  <si>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</si>
  <si>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</si>
  <si>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</si>
  <si>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</si>
  <si>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</si>
  <si>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</si>
  <si>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</si>
  <si>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</si>
  <si>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</si>
  <si>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</si>
  <si>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</si>
  <si>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</si>
  <si>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</si>
  <si>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</si>
  <si>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</si>
  <si>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</si>
  <si>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</si>
  <si>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</si>
  <si>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</si>
  <si>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</si>
  <si>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</si>
  <si>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</si>
  <si>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</si>
  <si>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</si>
  <si>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</si>
  <si>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</si>
  <si>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</si>
  <si>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</si>
  <si>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</si>
  <si>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</si>
  <si>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</si>
  <si>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</si>
  <si>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</si>
  <si>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</si>
  <si>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</si>
  <si>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</si>
  <si>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</si>
  <si>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</si>
  <si>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</si>
  <si>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</si>
  <si>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</si>
  <si>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</si>
  <si>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</si>
  <si>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</si>
  <si>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</si>
  <si>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</si>
  <si>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</si>
  <si>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</si>
  <si>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</si>
  <si>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</si>
  <si>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</si>
  <si>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</si>
  <si>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</si>
  <si>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</si>
  <si>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</si>
  <si>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</si>
  <si>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</si>
  <si>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</si>
  <si>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</si>
  <si>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</si>
  <si>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</si>
  <si>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</si>
  <si>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</si>
  <si>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</si>
  <si>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</si>
  <si>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</si>
  <si>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</si>
  <si>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</si>
  <si>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</si>
  <si>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</si>
  <si>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</si>
  <si>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</si>
  <si>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</si>
  <si>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</si>
  <si>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</si>
  <si>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</si>
  <si>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</si>
  <si>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</si>
  <si>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</si>
  <si>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</si>
  <si>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</si>
  <si>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</si>
  <si>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</si>
  <si>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</si>
  <si>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</si>
  <si>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</si>
  <si>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</si>
  <si>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</si>
  <si>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</si>
  <si>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</si>
  <si>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</si>
  <si>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</si>
  <si>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</si>
  <si>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</si>
  <si>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</si>
  <si>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</si>
  <si>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</si>
  <si>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</si>
  <si>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</si>
  <si>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</si>
  <si>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</si>
  <si>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</si>
  <si>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</si>
  <si>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</si>
  <si>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</si>
  <si>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</si>
  <si>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</si>
  <si>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</si>
  <si>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</si>
  <si>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</si>
  <si>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</si>
  <si>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</si>
  <si>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</si>
  <si>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</si>
  <si>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</si>
  <si>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</si>
  <si>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</si>
  <si>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</si>
  <si>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</si>
  <si>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</si>
  <si>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</si>
  <si>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</si>
  <si>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</si>
  <si>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</si>
  <si>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</si>
  <si>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</si>
  <si>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</si>
  <si>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</si>
  <si>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</si>
  <si>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</si>
  <si>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</si>
  <si>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</si>
  <si>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</si>
  <si>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</si>
  <si>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</si>
  <si>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</si>
  <si>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</si>
  <si>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</si>
  <si>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</si>
  <si>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</si>
  <si>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</si>
  <si>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</si>
  <si>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</si>
  <si>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</si>
  <si>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</si>
  <si>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</si>
  <si>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</si>
  <si>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</si>
  <si>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</si>
  <si>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</si>
  <si>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</si>
  <si>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</si>
  <si>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</si>
  <si>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</si>
  <si>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</si>
  <si>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</si>
  <si>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</si>
  <si>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</si>
  <si>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</si>
  <si>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</si>
  <si>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</si>
  <si>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</si>
  <si>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</si>
  <si>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</si>
  <si>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</si>
  <si>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</si>
  <si>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</si>
  <si>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</si>
  <si>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</si>
  <si>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</si>
  <si>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</si>
  <si>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</si>
  <si>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</si>
  <si>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</si>
  <si>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</si>
  <si>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</si>
  <si>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</si>
  <si>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</si>
  <si>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</si>
  <si>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</si>
  <si>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</si>
  <si>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</si>
  <si>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</si>
  <si>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</si>
  <si>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</si>
  <si>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</si>
  <si>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</si>
  <si>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</si>
  <si>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</si>
  <si>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</si>
  <si>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</si>
  <si>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</si>
  <si>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</si>
  <si>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</si>
  <si>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</si>
  <si>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</si>
  <si>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</si>
  <si>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</si>
  <si>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</si>
  <si>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</si>
  <si>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</si>
  <si>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</si>
  <si>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</si>
  <si>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</si>
  <si>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</si>
  <si>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</si>
  <si>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</si>
  <si>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</si>
  <si>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</si>
  <si>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</si>
  <si>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</si>
  <si>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</si>
  <si>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</si>
  <si>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</si>
  <si>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</si>
  <si>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</si>
  <si>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</si>
  <si>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</si>
  <si>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</si>
  <si>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</si>
  <si>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</si>
  <si>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</si>
  <si>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</si>
  <si>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</si>
  <si>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</si>
  <si>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</si>
  <si>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</si>
  <si>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</si>
  <si>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</si>
  <si>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</si>
  <si>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</si>
  <si>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</si>
  <si>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</si>
  <si>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</si>
  <si>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</si>
  <si>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</si>
  <si>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</si>
  <si>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</si>
  <si>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</si>
  <si>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</si>
  <si>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</si>
  <si>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</si>
  <si>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</si>
  <si>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</si>
  <si>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</si>
  <si>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</si>
  <si>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</si>
  <si>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</si>
  <si>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</si>
  <si>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</si>
  <si>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</si>
  <si>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</si>
  <si>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</si>
  <si>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</si>
  <si>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</si>
  <si>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</si>
  <si>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</si>
  <si>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</si>
  <si>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</si>
  <si>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</si>
  <si>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</si>
  <si>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</si>
  <si>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</si>
  <si>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</si>
  <si>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</si>
  <si>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</si>
  <si>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</si>
  <si>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</si>
  <si>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</si>
  <si>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</si>
  <si>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</si>
  <si>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</si>
  <si>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X</t>
  </si>
  <si>
    <t>5QA.803.105</t>
  </si>
  <si>
    <t>5Q0.804.131</t>
  </si>
  <si>
    <t>66-59D389108</t>
  </si>
  <si>
    <t>5QA.803.229.B</t>
  </si>
  <si>
    <t>ST1180</t>
  </si>
  <si>
    <t>5qa802035b_001_aps0002_L</t>
  </si>
  <si>
    <t>SK-1KA1</t>
  </si>
  <si>
    <t>KJLTVL111180R01</t>
  </si>
  <si>
    <t>66-59D389104</t>
  </si>
  <si>
    <t>MF100</t>
  </si>
  <si>
    <t>5QA.803.209</t>
  </si>
  <si>
    <t>5qa802035b_001_aps0003_L</t>
  </si>
  <si>
    <t>5qa802035b_001_aps0007_L</t>
  </si>
  <si>
    <t>5qa802035b_027_abps0001_L</t>
  </si>
  <si>
    <t>5qa802035b_027_abps0003_L</t>
  </si>
  <si>
    <t>5qa802035b_027_abps0004_L</t>
  </si>
  <si>
    <t>5qa802035b_001_aps0006_L</t>
  </si>
  <si>
    <t>5qa802035b_009_jps0002_L</t>
  </si>
  <si>
    <t>5qa802035b_009_jps0005_L</t>
  </si>
  <si>
    <t>5qa802035b_009_jps0003_L</t>
  </si>
  <si>
    <t>5qa802035b_011_lps0001_L</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</si>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</sst>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2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2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2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2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6" name="Rectangle 869">
          <a:extLst>
            <a:ext uri="{FF2B5EF4-FFF2-40B4-BE49-F238E27FC236}">
              <a16:creationId xmlns="" xmlns:a16="http://schemas.microsoft.com/office/drawing/2014/main" id="{00000000-0008-0000-0200-000006000000}"/>
            </a:ext>
          </a:extLst>
        </xdr:cNvPr>
        <xdr:cNvSpPr>
          <a:spLocks noChangeArrowheads="1"/>
        </xdr:cNvSpPr>
      </xdr:nvSpPr>
      <xdr:spPr bwMode="auto">
        <a:xfrm>
          <a:off x="600075" y="190499"/>
          <a:ext cx="9872178" cy="1016000"/>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7" name="Text Box 14">
          <a:extLst>
            <a:ext uri="{FF2B5EF4-FFF2-40B4-BE49-F238E27FC236}">
              <a16:creationId xmlns="" xmlns:a16="http://schemas.microsoft.com/office/drawing/2014/main" id="{00000000-0008-0000-0200-000007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1180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15" name="Rechteck 28">
          <a:extLst>
            <a:ext uri="{FF2B5EF4-FFF2-40B4-BE49-F238E27FC236}">
              <a16:creationId xmlns="" xmlns:a16="http://schemas.microsoft.com/office/drawing/2014/main" id="{00000000-0008-0000-0200-00000F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16" name="Text Box 147">
          <a:extLst>
            <a:ext uri="{FF2B5EF4-FFF2-40B4-BE49-F238E27FC236}">
              <a16:creationId xmlns="" xmlns:a16="http://schemas.microsoft.com/office/drawing/2014/main" id="{00000000-0008-0000-0200-000010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7x GEO 1180R01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7" name="Oval 96">
          <a:extLst>
            <a:ext uri="{FF2B5EF4-FFF2-40B4-BE49-F238E27FC236}">
              <a16:creationId xmlns="" xmlns:a16="http://schemas.microsoft.com/office/drawing/2014/main" id="{00000000-0008-0000-0200-000011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8" name="Textfeld 38">
          <a:extLst>
            <a:ext uri="{FF2B5EF4-FFF2-40B4-BE49-F238E27FC236}">
              <a16:creationId xmlns="" xmlns:a16="http://schemas.microsoft.com/office/drawing/2014/main" id="{00000000-0008-0000-0200-000012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389104/176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9" name="Oval 96">
          <a:extLst>
            <a:ext uri="{FF2B5EF4-FFF2-40B4-BE49-F238E27FC236}">
              <a16:creationId xmlns="" xmlns:a16="http://schemas.microsoft.com/office/drawing/2014/main" id="{00000000-0008-0000-0200-000013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8</xdr:col>
      <xdr:colOff>1135743</xdr:colOff>
      <xdr:row>9</xdr:row>
      <xdr:rowOff>190500</xdr:rowOff>
    </xdr:from>
    <xdr:to>
      <xdr:col>33</xdr:col>
      <xdr:colOff>142542</xdr:colOff>
      <xdr:row>35</xdr:row>
      <xdr:rowOff>158750</xdr:rowOff>
    </xdr:to>
    <xdr:pic>
      <xdr:nvPicPr>
        <xdr:cNvPr id="20" name="Imagem 19">
          <a:extLst>
            <a:ext uri="{FF2B5EF4-FFF2-40B4-BE49-F238E27FC236}">
              <a16:creationId xmlns="" xmlns:a16="http://schemas.microsoft.com/office/drawing/2014/main" id="{00000000-0008-0000-0200-000014000000}"/>
            </a:ext>
          </a:extLst>
        </xdr:cNvPr>
        <xdr:cNvPicPr>
          <a:picLocks noChangeAspect="1"/>
        </xdr:cNvPicPr>
      </xdr:nvPicPr>
      <xdr:blipFill>
        <a:blip xmlns:r="http://schemas.openxmlformats.org/officeDocument/2006/relationships" r:embed="rId2"/>
        <a:stretch>
          <a:fillRect/>
        </a:stretch>
      </xdr:blipFill>
      <xdr:spPr>
        <a:xfrm>
          <a:off x="3882118" y="2190750"/>
          <a:ext cx="12357674" cy="5746750"/>
        </a:xfrm>
        <a:prstGeom prst="rect">
          <a:avLst/>
        </a:prstGeom>
      </xdr:spPr>
    </xdr:pic>
    <xdr:clientData/>
  </xdr:twoCellAnchor>
  <xdr:twoCellAnchor editAs="oneCell">
    <xdr:from>
      <xdr:col>3</xdr:col>
      <xdr:colOff>183243</xdr:colOff>
      <xdr:row>42</xdr:row>
      <xdr:rowOff>79375</xdr:rowOff>
    </xdr:from>
    <xdr:to>
      <xdr:col>8</xdr:col>
      <xdr:colOff>897618</xdr:colOff>
      <xdr:row>49</xdr:row>
      <xdr:rowOff>35024</xdr:rowOff>
    </xdr:to>
    <xdr:pic>
      <xdr:nvPicPr>
        <xdr:cNvPr id="21" name="Imagem 20">
          <a:extLst>
            <a:ext uri="{FF2B5EF4-FFF2-40B4-BE49-F238E27FC236}">
              <a16:creationId xmlns="" xmlns:a16="http://schemas.microsoft.com/office/drawing/2014/main" id="{00000000-0008-0000-0200-000015000000}"/>
            </a:ext>
          </a:extLst>
        </xdr:cNvPr>
        <xdr:cNvPicPr>
          <a:picLocks noChangeAspect="1"/>
        </xdr:cNvPicPr>
      </xdr:nvPicPr>
      <xdr:blipFill>
        <a:blip xmlns:r="http://schemas.openxmlformats.org/officeDocument/2006/relationships" r:embed="rId3"/>
        <a:stretch>
          <a:fillRect/>
        </a:stretch>
      </xdr:blipFill>
      <xdr:spPr>
        <a:xfrm>
          <a:off x="1103993" y="9413875"/>
          <a:ext cx="2540000" cy="15113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1180</a:t>
          </a:r>
          <a:endParaRPr lang="pt-BR" sz="2800">
            <a:effectLst/>
          </a:endParaRPr>
        </a:p>
      </xdr:txBody>
    </xdr:sp>
    <xdr:clientData/>
  </xdr:twoCellAnchor>
  <xdr:twoCellAnchor>
    <xdr:from>
      <xdr:col>1</xdr:col>
      <xdr:colOff>0</xdr:colOff>
      <xdr:row>41</xdr:row>
      <xdr:rowOff>114300</xdr:rowOff>
    </xdr:from>
    <xdr:to>
      <xdr:col>9</xdr:col>
      <xdr:colOff>327025</xdr:colOff>
      <xdr:row>52</xdr:row>
      <xdr:rowOff>3465</xdr:rowOff>
    </xdr:to>
    <xdr:sp macro="" textlink="">
      <xdr:nvSpPr>
        <xdr:cNvPr id="15" name="Rechteck 28">
          <a:extLst>
            <a:ext uri="{FF2B5EF4-FFF2-40B4-BE49-F238E27FC236}">
              <a16:creationId xmlns="" xmlns:a16="http://schemas.microsoft.com/office/drawing/2014/main" id="{00000000-0008-0000-0100-00000F000000}"/>
            </a:ext>
          </a:extLst>
        </xdr:cNvPr>
        <xdr:cNvSpPr/>
      </xdr:nvSpPr>
      <xdr:spPr bwMode="auto">
        <a:xfrm>
          <a:off x="365125"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206375</xdr:rowOff>
    </xdr:from>
    <xdr:to>
      <xdr:col>24</xdr:col>
      <xdr:colOff>256593</xdr:colOff>
      <xdr:row>47</xdr:row>
      <xdr:rowOff>39972</xdr:rowOff>
    </xdr:to>
    <xdr:sp macro="" textlink="">
      <xdr:nvSpPr>
        <xdr:cNvPr id="16" name="Text Box 147">
          <a:extLst>
            <a:ext uri="{FF2B5EF4-FFF2-40B4-BE49-F238E27FC236}">
              <a16:creationId xmlns="" xmlns:a16="http://schemas.microsoft.com/office/drawing/2014/main" id="{00000000-0008-0000-0100-000010000000}"/>
            </a:ext>
          </a:extLst>
        </xdr:cNvPr>
        <xdr:cNvSpPr txBox="1">
          <a:spLocks noChangeArrowheads="1"/>
        </xdr:cNvSpPr>
      </xdr:nvSpPr>
      <xdr:spPr bwMode="auto">
        <a:xfrm>
          <a:off x="6926821"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1180R01</a:t>
          </a:r>
        </a:p>
      </xdr:txBody>
    </xdr:sp>
    <xdr:clientData/>
  </xdr:twoCellAnchor>
  <xdr:twoCellAnchor>
    <xdr:from>
      <xdr:col>13</xdr:col>
      <xdr:colOff>8618</xdr:colOff>
      <xdr:row>46</xdr:row>
      <xdr:rowOff>60325</xdr:rowOff>
    </xdr:from>
    <xdr:to>
      <xdr:col>13</xdr:col>
      <xdr:colOff>173719</xdr:colOff>
      <xdr:row>46</xdr:row>
      <xdr:rowOff>222004</xdr:rowOff>
    </xdr:to>
    <xdr:sp macro="" textlink="">
      <xdr:nvSpPr>
        <xdr:cNvPr id="17" name="Oval 96">
          <a:extLst>
            <a:ext uri="{FF2B5EF4-FFF2-40B4-BE49-F238E27FC236}">
              <a16:creationId xmlns="" xmlns:a16="http://schemas.microsoft.com/office/drawing/2014/main" id="{00000000-0008-0000-0100-000011000000}"/>
            </a:ext>
          </a:extLst>
        </xdr:cNvPr>
        <xdr:cNvSpPr/>
      </xdr:nvSpPr>
      <xdr:spPr>
        <a:xfrm rot="10800000" flipH="1" flipV="1">
          <a:off x="6707868"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190500</xdr:rowOff>
    </xdr:from>
    <xdr:to>
      <xdr:col>8</xdr:col>
      <xdr:colOff>1075130</xdr:colOff>
      <xdr:row>51</xdr:row>
      <xdr:rowOff>114588</xdr:rowOff>
    </xdr:to>
    <xdr:sp macro="" textlink="">
      <xdr:nvSpPr>
        <xdr:cNvPr id="18" name="Textfeld 38">
          <a:extLst>
            <a:ext uri="{FF2B5EF4-FFF2-40B4-BE49-F238E27FC236}">
              <a16:creationId xmlns="" xmlns:a16="http://schemas.microsoft.com/office/drawing/2014/main" id="{00000000-0008-0000-0100-000012000000}"/>
            </a:ext>
          </a:extLst>
        </xdr:cNvPr>
        <xdr:cNvSpPr txBox="1"/>
      </xdr:nvSpPr>
      <xdr:spPr>
        <a:xfrm>
          <a:off x="929368"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389108/176</a:t>
          </a:r>
          <a:endParaRPr lang="pt-BR" sz="1800">
            <a:effectLst/>
          </a:endParaRPr>
        </a:p>
      </xdr:txBody>
    </xdr:sp>
    <xdr:clientData/>
  </xdr:twoCellAnchor>
  <xdr:twoCellAnchor>
    <xdr:from>
      <xdr:col>3</xdr:col>
      <xdr:colOff>119742</xdr:colOff>
      <xdr:row>50</xdr:row>
      <xdr:rowOff>63500</xdr:rowOff>
    </xdr:from>
    <xdr:to>
      <xdr:col>3</xdr:col>
      <xdr:colOff>284843</xdr:colOff>
      <xdr:row>51</xdr:row>
      <xdr:rowOff>18804</xdr:rowOff>
    </xdr:to>
    <xdr:sp macro="" textlink="">
      <xdr:nvSpPr>
        <xdr:cNvPr id="19" name="Oval 96">
          <a:extLst>
            <a:ext uri="{FF2B5EF4-FFF2-40B4-BE49-F238E27FC236}">
              <a16:creationId xmlns="" xmlns:a16="http://schemas.microsoft.com/office/drawing/2014/main" id="{00000000-0008-0000-0100-000013000000}"/>
            </a:ext>
          </a:extLst>
        </xdr:cNvPr>
        <xdr:cNvSpPr/>
      </xdr:nvSpPr>
      <xdr:spPr>
        <a:xfrm rot="10800000" flipH="1" flipV="1">
          <a:off x="1040492"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214992</xdr:colOff>
      <xdr:row>41</xdr:row>
      <xdr:rowOff>190500</xdr:rowOff>
    </xdr:from>
    <xdr:to>
      <xdr:col>8</xdr:col>
      <xdr:colOff>1018928</xdr:colOff>
      <xdr:row>49</xdr:row>
      <xdr:rowOff>63500</xdr:rowOff>
    </xdr:to>
    <xdr:pic>
      <xdr:nvPicPr>
        <xdr:cNvPr id="20" name="Imagem 19">
          <a:extLst>
            <a:ext uri="{FF2B5EF4-FFF2-40B4-BE49-F238E27FC236}">
              <a16:creationId xmlns=""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a:off x="1135742" y="9302750"/>
          <a:ext cx="2629561" cy="1651000"/>
        </a:xfrm>
        <a:prstGeom prst="rect">
          <a:avLst/>
        </a:prstGeom>
      </xdr:spPr>
    </xdr:pic>
    <xdr:clientData/>
  </xdr:twoCellAnchor>
  <xdr:twoCellAnchor editAs="oneCell">
    <xdr:from>
      <xdr:col>9</xdr:col>
      <xdr:colOff>238124</xdr:colOff>
      <xdr:row>9</xdr:row>
      <xdr:rowOff>190499</xdr:rowOff>
    </xdr:from>
    <xdr:to>
      <xdr:col>27</xdr:col>
      <xdr:colOff>730249</xdr:colOff>
      <xdr:row>39</xdr:row>
      <xdr:rowOff>284</xdr:rowOff>
    </xdr:to>
    <xdr:pic>
      <xdr:nvPicPr>
        <xdr:cNvPr id="6" name="Imagem 5"/>
        <xdr:cNvPicPr>
          <a:picLocks noChangeAspect="1"/>
        </xdr:cNvPicPr>
      </xdr:nvPicPr>
      <xdr:blipFill>
        <a:blip xmlns:r="http://schemas.openxmlformats.org/officeDocument/2006/relationships" r:embed="rId3"/>
        <a:stretch>
          <a:fillRect/>
        </a:stretch>
      </xdr:blipFill>
      <xdr:spPr>
        <a:xfrm>
          <a:off x="4238624" y="2190749"/>
          <a:ext cx="9667875" cy="64772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3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3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3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3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6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6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6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6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6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6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6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6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6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6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6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6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6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6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6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6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6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6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6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6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6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6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6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6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6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7" Type="http://schemas.openxmlformats.org/officeDocument/2006/relationships/comments" Target="../comments2.xml"/><Relationship Id="rId2" Type="http://schemas.openxmlformats.org/officeDocument/2006/relationships/printerSettings" Target="../printerSettings/printerSettings4.bin"/><Relationship Id="rId1" Type="http://schemas.openxmlformats.org/officeDocument/2006/relationships/hyperlink" Target="mailto:Thomas.Noack@Volkswagen.de" TargetMode="External"/><Relationship Id="rId6" Type="http://schemas.openxmlformats.org/officeDocument/2006/relationships/image" Target="../media/image7.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9.emf"/><Relationship Id="rId4" Type="http://schemas.openxmlformats.org/officeDocument/2006/relationships/oleObject" Target="../embeddings/Documento_do_Microsoft_Word_97_-_20031.doc"/></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2" zoomScale="80" zoomScaleNormal="80" zoomScaleSheetLayoutView="85" workbookViewId="0">
      <selection activeCell="M40" sqref="M40:AJ4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1180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1933</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49"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I70" sqref="I70"/>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1180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ST1180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abSelected="1" zoomScale="60" zoomScaleNormal="60" zoomScaleSheetLayoutView="50" workbookViewId="0">
      <selection activeCell="Z44" sqref="Z44"/>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1180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ST1180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showWhiteSpace="0" topLeftCell="A10" zoomScale="85" zoomScaleNormal="85" zoomScaleSheetLayoutView="40" zoomScalePageLayoutView="10" workbookViewId="0">
      <selection activeCell="H26" sqref="H26"/>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1950</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7.1002099999999997</v>
      </c>
      <c r="D19" s="308" t="s">
        <v>1934</v>
      </c>
      <c r="E19" s="309" t="s">
        <v>1935</v>
      </c>
      <c r="F19" s="310" t="s">
        <v>1936</v>
      </c>
      <c r="G19" s="336" t="s">
        <v>1928</v>
      </c>
      <c r="H19" s="311" t="s">
        <v>1937</v>
      </c>
      <c r="I19" s="478" t="s">
        <v>1938</v>
      </c>
      <c r="J19" s="312">
        <v>150.02000000000001</v>
      </c>
      <c r="K19" s="313">
        <v>-377.79</v>
      </c>
      <c r="L19" s="314">
        <v>98.67</v>
      </c>
      <c r="M19" s="315" t="s">
        <v>1929</v>
      </c>
      <c r="N19" s="316" t="s">
        <v>1939</v>
      </c>
      <c r="O19" s="317" t="s">
        <v>1188</v>
      </c>
      <c r="P19" s="502">
        <v>2.1</v>
      </c>
      <c r="Q19" s="320" t="s">
        <v>1001</v>
      </c>
      <c r="R19" s="318">
        <f>IF(AND(ISBLANK(P19),ISTEXT(Q19)),"t1?",IF(AND(ISBLANK(Q19),ISBLANK(P19)),"",VLOOKUP(BH19,Materialliste!$A$2:$B$1615,2,FALSE)))</f>
        <v>550</v>
      </c>
      <c r="S19" s="319">
        <v>2</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1925</v>
      </c>
      <c r="Z19" s="453">
        <f t="shared" ref="Z19:Z43" si="0">IF($E$6="DE",IF(P19*S19&gt;0,0.8*BN19+0.2*BM19,"BLECH?"),IF(P19*S19&gt;0,0.8*BN19+0.2*BM19,"Sheet?"))</f>
        <v>2.02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4.6004909090909099</v>
      </c>
      <c r="AC19" s="322">
        <f>IF(AND(BT19="J",OR(G19="C",G19="X")),39,IF(AND(BT19="N",OR(G19="C",G19="X")),IF(Z19="BLECH?","",IF(AND(BX19=TRUE,BZ19=TRUE),IF(Z19&lt;=2,((1.13*Z19+7.1+BY19)+(1.13*Z19+7.1+CA19))/2*BW19,((1.5*Z19+5.8+BY19)+(1.5*Z19+5.8+CA19))/2*BW19),IF(Z19&lt;=2,(1.13*Z19+7.1+BY19+CA19)*BW19,(1.5*Z19+5.8+BY19+CA19)*BW19))),IF(OR(G19="B",G19="S"),6,IF(G19="R",7,IF(AND(G19="M",BT19="N"),4.3,IF(AND(G19="M",BT19="J"),"21",""))))))</f>
        <v>6.9105000000000008</v>
      </c>
      <c r="AD19" s="323">
        <f t="shared" ref="AD19:AD25" si="1">IF(OR(ISBLANK(G19),Z19="BLECH?"),"",IF(AND(BT19="J",G19="C"),60,IF(G19="B",60,IF(G19="R",150,IF(G19="S",90,IF(AND(G19="m",BT19="n"),350,IF(AND(G19="m",BT19="j"),50,MAX(MIN((((P19+S19+V19-1.4)*(600/4.6))+200)+BU19,900),200))))))))</f>
        <v>852.17391304347825</v>
      </c>
      <c r="AE19" s="324">
        <f>IF(AND(BT19="J",OR(G19="C",G19="X")),AB19*1,IF(OR(G19="C",G19="X"),AB19*BV19,IF(ISBLANK(G19),AB19,AB19*1)))</f>
        <v>3.2203436363636366</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2.1</v>
      </c>
      <c r="BN19" s="475">
        <f>LARGE(BO19:BQ19,2)</f>
        <v>2</v>
      </c>
      <c r="BO19" s="474">
        <f t="shared" ref="BO19:BO43" si="7">P19</f>
        <v>2.1</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7.1002200000000002</v>
      </c>
      <c r="D20" s="333" t="s">
        <v>1940</v>
      </c>
      <c r="E20" s="334" t="s">
        <v>1935</v>
      </c>
      <c r="F20" s="335" t="s">
        <v>1936</v>
      </c>
      <c r="G20" s="336" t="s">
        <v>1928</v>
      </c>
      <c r="H20" s="337" t="s">
        <v>1937</v>
      </c>
      <c r="I20" s="479" t="s">
        <v>1938</v>
      </c>
      <c r="J20" s="338">
        <v>153.16999999999999</v>
      </c>
      <c r="K20" s="339">
        <v>-378.74</v>
      </c>
      <c r="L20" s="340">
        <v>118.79</v>
      </c>
      <c r="M20" s="341" t="s">
        <v>1929</v>
      </c>
      <c r="N20" s="342" t="s">
        <v>1939</v>
      </c>
      <c r="O20" s="343" t="s">
        <v>1188</v>
      </c>
      <c r="P20" s="319">
        <v>2.1</v>
      </c>
      <c r="Q20" s="320" t="s">
        <v>1001</v>
      </c>
      <c r="R20" s="344">
        <f>IF(AND(ISBLANK(P20),ISTEXT(Q20)),"t1?",IF(AND(ISBLANK(Q20),ISBLANK(P20)),"",VLOOKUP(BH20,Materialliste!$A$2:$B$1615,2,FALSE)))</f>
        <v>550</v>
      </c>
      <c r="S20" s="319">
        <v>2</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1925</v>
      </c>
      <c r="Z20" s="346">
        <f t="shared" si="0"/>
        <v>2.02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4.6004909090909099</v>
      </c>
      <c r="AC20" s="348">
        <f t="shared" ref="AC20:AC43" si="13">IF(AND(BT20="J",OR(G20="C",G20="X")),39,IF(OR(G20="C",G20="X"),IF(Z20="BLECH?","",IF(AND(BX20=TRUE,BZ20=TRUE),IF(Z20&lt;=2,((1.13*Z20+7.1+BY20)+(1.13*Z20+7.1+CA20))/2*BW20,((1.5*Z20+5.8+BY20)+(1.5*Z20+5.8+CA20))/2*BW20),IF(Z20&lt;=2,(1.13*Z20+7.1+BY20+CA20)*BW20,(1.5*Z20+5.8+BY20+CA20)*BW20))),IF(OR(G20="B",G20="S"),6,IF(G20="R",7,IF(AND(G20="M",BT20="N"),4.3,IF(AND(G20="M",BT20="J"),"21",""))))))</f>
        <v>6.9105000000000008</v>
      </c>
      <c r="AD20" s="323">
        <f t="shared" si="1"/>
        <v>852.17391304347825</v>
      </c>
      <c r="AE20" s="349">
        <f t="shared" ref="AE20:AE43" si="14">IF(AND(BT20="J",OR(G20="C",G20="X")),AB20*1,IF(OR(G20="C",G20="X"),AB20*BV20,IF(ISBLANK(G20),AB20,AB20*1)))</f>
        <v>3.2203436363636366</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TL 4225-AS30/30</v>
      </c>
      <c r="BJ20" s="473">
        <f t="shared" si="5"/>
        <v>0</v>
      </c>
      <c r="BM20" s="474">
        <f t="shared" si="6"/>
        <v>2.1</v>
      </c>
      <c r="BN20" s="475">
        <f t="shared" ref="BN20:BN43" si="22">LARGE(BO20:BQ20,2)</f>
        <v>2</v>
      </c>
      <c r="BO20" s="474">
        <f t="shared" si="7"/>
        <v>2.1</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7.1002299999999998</v>
      </c>
      <c r="D21" s="333" t="s">
        <v>1941</v>
      </c>
      <c r="E21" s="334" t="s">
        <v>1935</v>
      </c>
      <c r="F21" s="335" t="s">
        <v>1936</v>
      </c>
      <c r="G21" s="336" t="s">
        <v>1928</v>
      </c>
      <c r="H21" s="337" t="s">
        <v>1937</v>
      </c>
      <c r="I21" s="479" t="s">
        <v>1938</v>
      </c>
      <c r="J21" s="338">
        <v>104.97</v>
      </c>
      <c r="K21" s="339">
        <v>-387.11</v>
      </c>
      <c r="L21" s="340">
        <v>124.77</v>
      </c>
      <c r="M21" s="341" t="s">
        <v>1929</v>
      </c>
      <c r="N21" s="342" t="s">
        <v>1939</v>
      </c>
      <c r="O21" s="343" t="s">
        <v>1188</v>
      </c>
      <c r="P21" s="319">
        <v>2.1</v>
      </c>
      <c r="Q21" s="320" t="s">
        <v>1001</v>
      </c>
      <c r="R21" s="355">
        <f>IF(AND(ISBLANK(P21),ISTEXT(Q21)),"t1?",IF(AND(ISBLANK(Q21),ISBLANK(P21)),"",VLOOKUP(BH21,Materialliste!$A$2:$B$1615,2,FALSE)))</f>
        <v>550</v>
      </c>
      <c r="S21" s="319">
        <v>2</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2.02</v>
      </c>
      <c r="AA21" s="347">
        <f t="shared" si="11"/>
        <v>1.1727272727272728</v>
      </c>
      <c r="AB21" s="454">
        <f t="shared" si="12"/>
        <v>4.6004909090909099</v>
      </c>
      <c r="AC21" s="348">
        <f t="shared" si="13"/>
        <v>6.9105000000000008</v>
      </c>
      <c r="AD21" s="323">
        <f t="shared" si="1"/>
        <v>852.17391304347825</v>
      </c>
      <c r="AE21" s="349">
        <f t="shared" si="14"/>
        <v>3.2203436363636366</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TL 4225-AS30/30</v>
      </c>
      <c r="BJ21" s="473">
        <f t="shared" si="5"/>
        <v>0</v>
      </c>
      <c r="BM21" s="474">
        <f t="shared" si="6"/>
        <v>2.1</v>
      </c>
      <c r="BN21" s="475">
        <f t="shared" si="22"/>
        <v>2</v>
      </c>
      <c r="BO21" s="474">
        <f t="shared" si="7"/>
        <v>2.1</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7.1002400000000003</v>
      </c>
      <c r="D22" s="333" t="s">
        <v>1942</v>
      </c>
      <c r="E22" s="334" t="s">
        <v>1935</v>
      </c>
      <c r="F22" s="335" t="s">
        <v>1936</v>
      </c>
      <c r="G22" s="336" t="s">
        <v>1928</v>
      </c>
      <c r="H22" s="337" t="s">
        <v>1937</v>
      </c>
      <c r="I22" s="479" t="s">
        <v>1938</v>
      </c>
      <c r="J22" s="338">
        <v>88.82</v>
      </c>
      <c r="K22" s="339">
        <v>-386.93</v>
      </c>
      <c r="L22" s="340">
        <v>121.73</v>
      </c>
      <c r="M22" s="341" t="s">
        <v>1939</v>
      </c>
      <c r="N22" s="342" t="s">
        <v>1929</v>
      </c>
      <c r="O22" s="343" t="s">
        <v>1930</v>
      </c>
      <c r="P22" s="319">
        <v>2</v>
      </c>
      <c r="Q22" s="320" t="s">
        <v>1129</v>
      </c>
      <c r="R22" s="355">
        <f>IF(AND(ISBLANK(P22),ISTEXT(Q22)),"t1?",IF(AND(ISBLANK(Q22),ISBLANK(P22)),"",VLOOKUP(BH22,Materialliste!$A$2:$B$1615,2,FALSE)))</f>
        <v>1250</v>
      </c>
      <c r="S22" s="319">
        <v>2.1</v>
      </c>
      <c r="T22" s="320" t="s">
        <v>1001</v>
      </c>
      <c r="U22" s="355">
        <f>IF(AND(ISBLANK(S22),ISTEXT(T22)),"t2?",IF(AND(ISBLANK(T22),ISBLANK(S22)),"",VLOOKUP(BI22,Materialliste!$A$2:$B$1615,2,FALSE)))</f>
        <v>550</v>
      </c>
      <c r="V22" s="319">
        <v>3</v>
      </c>
      <c r="W22" s="356" t="s">
        <v>600</v>
      </c>
      <c r="X22" s="355">
        <f>IF(AND(ISBLANK(V22),ISTEXT(W22)),"t3?",IF(AND(ISBLANK(W22),ISBLANK(V22)),"",VLOOKUP(BJ22,Materialliste!$A$2:$B$1615,2,FALSE)))</f>
        <v>350</v>
      </c>
      <c r="Y22" s="443" t="s">
        <v>1925</v>
      </c>
      <c r="Z22" s="346">
        <f t="shared" si="0"/>
        <v>2.2800000000000002</v>
      </c>
      <c r="AA22" s="347">
        <f t="shared" si="11"/>
        <v>1.2257575757575758</v>
      </c>
      <c r="AB22" s="454">
        <f t="shared" si="12"/>
        <v>5.1911757575757589</v>
      </c>
      <c r="AC22" s="348">
        <f t="shared" si="13"/>
        <v>7.2420000000000009</v>
      </c>
      <c r="AD22" s="323">
        <f t="shared" si="1"/>
        <v>900</v>
      </c>
      <c r="AE22" s="349">
        <f t="shared" si="14"/>
        <v>3.6338230303030308</v>
      </c>
      <c r="AF22" s="480">
        <f t="shared" si="15"/>
        <v>4.9497474683058327</v>
      </c>
      <c r="AG22" s="482">
        <f t="shared" si="16"/>
        <v>5.0719818611663037</v>
      </c>
      <c r="AH22" s="461" t="str">
        <f t="shared" si="2"/>
        <v>39D 1978-2</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t="str">
        <f t="shared" si="5"/>
        <v>CR270LA-EG12/12</v>
      </c>
      <c r="BM22" s="474">
        <f t="shared" si="6"/>
        <v>3</v>
      </c>
      <c r="BN22" s="475">
        <f t="shared" si="22"/>
        <v>2.1</v>
      </c>
      <c r="BO22" s="474">
        <f t="shared" si="7"/>
        <v>2</v>
      </c>
      <c r="BP22" s="474">
        <f t="shared" si="8"/>
        <v>2.1</v>
      </c>
      <c r="BQ22" s="474">
        <f t="shared" si="9"/>
        <v>3</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7.10025</v>
      </c>
      <c r="D23" s="333" t="s">
        <v>1943</v>
      </c>
      <c r="E23" s="334" t="s">
        <v>1935</v>
      </c>
      <c r="F23" s="335" t="s">
        <v>1936</v>
      </c>
      <c r="G23" s="336" t="s">
        <v>1928</v>
      </c>
      <c r="H23" s="337" t="s">
        <v>1937</v>
      </c>
      <c r="I23" s="479" t="s">
        <v>1938</v>
      </c>
      <c r="J23" s="338">
        <v>89.06</v>
      </c>
      <c r="K23" s="339">
        <v>-386.05</v>
      </c>
      <c r="L23" s="340">
        <v>88.4</v>
      </c>
      <c r="M23" s="342" t="s">
        <v>1939</v>
      </c>
      <c r="N23" s="342" t="s">
        <v>1929</v>
      </c>
      <c r="O23" s="342" t="s">
        <v>1930</v>
      </c>
      <c r="P23" s="319">
        <v>2</v>
      </c>
      <c r="Q23" s="320" t="s">
        <v>1129</v>
      </c>
      <c r="R23" s="355">
        <f>IF(AND(ISBLANK(P23),ISTEXT(Q23)),"t1?",IF(AND(ISBLANK(Q23),ISBLANK(P23)),"",VLOOKUP(BH23,Materialliste!$A$2:$B$1615,2,FALSE)))</f>
        <v>1250</v>
      </c>
      <c r="S23" s="319">
        <v>2.1</v>
      </c>
      <c r="T23" s="320" t="s">
        <v>1001</v>
      </c>
      <c r="U23" s="355">
        <f>IF(AND(ISBLANK(S23),ISTEXT(T23)),"t2?",IF(AND(ISBLANK(T23),ISBLANK(S23)),"",VLOOKUP(BI23,Materialliste!$A$2:$B$1615,2,FALSE)))</f>
        <v>550</v>
      </c>
      <c r="V23" s="319">
        <v>3</v>
      </c>
      <c r="W23" s="320" t="s">
        <v>600</v>
      </c>
      <c r="X23" s="355">
        <f>IF(AND(ISBLANK(V23),ISTEXT(W23)),"t3?",IF(AND(ISBLANK(W23),ISBLANK(V23)),"",VLOOKUP(BJ23,Materialliste!$A$2:$B$1615,2,FALSE)))</f>
        <v>350</v>
      </c>
      <c r="Y23" s="443" t="s">
        <v>1925</v>
      </c>
      <c r="Z23" s="346">
        <f t="shared" si="0"/>
        <v>2.2800000000000002</v>
      </c>
      <c r="AA23" s="347">
        <f t="shared" si="11"/>
        <v>1.2257575757575758</v>
      </c>
      <c r="AB23" s="454">
        <f t="shared" si="12"/>
        <v>5.1911757575757589</v>
      </c>
      <c r="AC23" s="348">
        <f t="shared" si="13"/>
        <v>7.2420000000000009</v>
      </c>
      <c r="AD23" s="323">
        <f t="shared" si="1"/>
        <v>900</v>
      </c>
      <c r="AE23" s="349">
        <f t="shared" si="14"/>
        <v>3.6338230303030308</v>
      </c>
      <c r="AF23" s="480">
        <f t="shared" si="15"/>
        <v>4.9497474683058327</v>
      </c>
      <c r="AG23" s="482">
        <f t="shared" si="16"/>
        <v>5.0719818611663037</v>
      </c>
      <c r="AH23" s="461" t="str">
        <f t="shared" si="2"/>
        <v>39D 1978-2</v>
      </c>
      <c r="AI23" s="350">
        <f t="shared" si="17"/>
        <v>8</v>
      </c>
      <c r="AJ23" s="350">
        <f t="shared" si="18"/>
        <v>50</v>
      </c>
      <c r="AK23" s="350">
        <f t="shared" si="19"/>
        <v>8</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CR440Y780T-DP-EG12/12</v>
      </c>
      <c r="BJ23" s="473" t="str">
        <f t="shared" si="5"/>
        <v>CR270LA-EG12/12</v>
      </c>
      <c r="BM23" s="474">
        <f t="shared" si="6"/>
        <v>3</v>
      </c>
      <c r="BN23" s="475">
        <f>LARGE(BO23:BQ23,2)</f>
        <v>2.1</v>
      </c>
      <c r="BO23" s="474">
        <f t="shared" si="7"/>
        <v>2</v>
      </c>
      <c r="BP23" s="474">
        <f t="shared" si="8"/>
        <v>2.1</v>
      </c>
      <c r="BQ23" s="474">
        <f t="shared" si="9"/>
        <v>3</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7.1002599999999996</v>
      </c>
      <c r="D24" s="333" t="s">
        <v>1944</v>
      </c>
      <c r="E24" s="334" t="s">
        <v>1935</v>
      </c>
      <c r="F24" s="335" t="s">
        <v>1936</v>
      </c>
      <c r="G24" s="336" t="s">
        <v>1928</v>
      </c>
      <c r="H24" s="337" t="s">
        <v>1937</v>
      </c>
      <c r="I24" s="479" t="s">
        <v>1938</v>
      </c>
      <c r="J24" s="338">
        <v>68.95</v>
      </c>
      <c r="K24" s="339">
        <v>-389.27</v>
      </c>
      <c r="L24" s="340">
        <v>102.44</v>
      </c>
      <c r="M24" s="342" t="s">
        <v>1939</v>
      </c>
      <c r="N24" s="342" t="s">
        <v>1929</v>
      </c>
      <c r="O24" s="342" t="s">
        <v>1930</v>
      </c>
      <c r="P24" s="319">
        <v>2</v>
      </c>
      <c r="Q24" s="320" t="s">
        <v>1129</v>
      </c>
      <c r="R24" s="355">
        <f>IF(AND(ISBLANK(P24),ISTEXT(Q24)),"t1?",IF(AND(ISBLANK(Q24),ISBLANK(P24)),"",VLOOKUP(BH24,Materialliste!$A$2:$B$1615,2,FALSE)))</f>
        <v>1250</v>
      </c>
      <c r="S24" s="319">
        <v>2.1</v>
      </c>
      <c r="T24" s="320" t="s">
        <v>1001</v>
      </c>
      <c r="U24" s="355">
        <f>IF(AND(ISBLANK(S24),ISTEXT(T24)),"t2?",IF(AND(ISBLANK(T24),ISBLANK(S24)),"",VLOOKUP(BI24,Materialliste!$A$2:$B$1615,2,FALSE)))</f>
        <v>550</v>
      </c>
      <c r="V24" s="319">
        <v>3</v>
      </c>
      <c r="W24" s="320" t="s">
        <v>600</v>
      </c>
      <c r="X24" s="355">
        <f>IF(AND(ISBLANK(V24),ISTEXT(W24)),"t3?",IF(AND(ISBLANK(W24),ISBLANK(V24)),"",VLOOKUP(BJ24,Materialliste!$A$2:$B$1615,2,FALSE)))</f>
        <v>350</v>
      </c>
      <c r="Y24" s="443" t="s">
        <v>1925</v>
      </c>
      <c r="Z24" s="346">
        <f t="shared" si="0"/>
        <v>2.2800000000000002</v>
      </c>
      <c r="AA24" s="347">
        <f t="shared" si="11"/>
        <v>1.2257575757575758</v>
      </c>
      <c r="AB24" s="454">
        <f t="shared" si="12"/>
        <v>5.1911757575757589</v>
      </c>
      <c r="AC24" s="348">
        <f t="shared" si="13"/>
        <v>7.2420000000000009</v>
      </c>
      <c r="AD24" s="323">
        <f t="shared" si="1"/>
        <v>900</v>
      </c>
      <c r="AE24" s="349">
        <f t="shared" si="14"/>
        <v>3.6338230303030308</v>
      </c>
      <c r="AF24" s="480">
        <f t="shared" si="15"/>
        <v>4.9497474683058327</v>
      </c>
      <c r="AG24" s="482">
        <f t="shared" si="16"/>
        <v>5.0719818611663037</v>
      </c>
      <c r="AH24" s="461" t="str">
        <f t="shared" si="2"/>
        <v>39D 1978-2</v>
      </c>
      <c r="AI24" s="350">
        <f t="shared" si="17"/>
        <v>8</v>
      </c>
      <c r="AJ24" s="350">
        <f t="shared" si="18"/>
        <v>50</v>
      </c>
      <c r="AK24" s="350">
        <f t="shared" si="19"/>
        <v>8</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t="str">
        <f t="shared" si="5"/>
        <v>CR270LA-EG12/12</v>
      </c>
      <c r="BM24" s="474">
        <f t="shared" si="6"/>
        <v>3</v>
      </c>
      <c r="BN24" s="475">
        <f t="shared" si="22"/>
        <v>2.1</v>
      </c>
      <c r="BO24" s="474">
        <f t="shared" si="7"/>
        <v>2</v>
      </c>
      <c r="BP24" s="474">
        <f t="shared" si="8"/>
        <v>2.1</v>
      </c>
      <c r="BQ24" s="474">
        <f t="shared" si="9"/>
        <v>3</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v>7.1002700000000001</v>
      </c>
      <c r="D25" s="333" t="s">
        <v>1945</v>
      </c>
      <c r="E25" s="334" t="s">
        <v>1935</v>
      </c>
      <c r="F25" s="335" t="s">
        <v>1936</v>
      </c>
      <c r="G25" s="336" t="s">
        <v>1928</v>
      </c>
      <c r="H25" s="337" t="s">
        <v>1937</v>
      </c>
      <c r="I25" s="479" t="s">
        <v>1938</v>
      </c>
      <c r="J25" s="338">
        <v>137.34</v>
      </c>
      <c r="K25" s="339">
        <v>-386.91</v>
      </c>
      <c r="L25" s="340">
        <v>57.29</v>
      </c>
      <c r="M25" s="342" t="s">
        <v>1929</v>
      </c>
      <c r="N25" s="342" t="s">
        <v>1939</v>
      </c>
      <c r="O25" s="342" t="s">
        <v>1188</v>
      </c>
      <c r="P25" s="319">
        <v>2.1</v>
      </c>
      <c r="Q25" s="320" t="s">
        <v>1001</v>
      </c>
      <c r="R25" s="355">
        <f>IF(AND(ISBLANK(P25),ISTEXT(Q25)),"t1?",IF(AND(ISBLANK(Q25),ISBLANK(P25)),"",VLOOKUP(BH25,Materialliste!$A$2:$B$1615,2,FALSE)))</f>
        <v>550</v>
      </c>
      <c r="S25" s="319">
        <v>2</v>
      </c>
      <c r="T25" s="320" t="s">
        <v>1129</v>
      </c>
      <c r="U25" s="355">
        <f>IF(AND(ISBLANK(S25),ISTEXT(T25)),"t2?",IF(AND(ISBLANK(T25),ISBLANK(S25)),"",VLOOKUP(BI25,Materialliste!$A$2:$B$1615,2,FALSE)))</f>
        <v>1250</v>
      </c>
      <c r="V25" s="319"/>
      <c r="W25" s="320"/>
      <c r="X25" s="355" t="str">
        <f>IF(AND(ISBLANK(V25),ISTEXT(W25)),"t3?",IF(AND(ISBLANK(W25),ISBLANK(V25)),"",VLOOKUP(BJ25,Materialliste!$A$2:$B$1615,2,FALSE)))</f>
        <v/>
      </c>
      <c r="Y25" s="443" t="s">
        <v>1925</v>
      </c>
      <c r="Z25" s="346">
        <f t="shared" si="0"/>
        <v>2.02</v>
      </c>
      <c r="AA25" s="347">
        <f t="shared" si="11"/>
        <v>1.1727272727272728</v>
      </c>
      <c r="AB25" s="454">
        <f t="shared" si="12"/>
        <v>4.6004909090909099</v>
      </c>
      <c r="AC25" s="348">
        <f t="shared" si="13"/>
        <v>6.9105000000000008</v>
      </c>
      <c r="AD25" s="323">
        <f t="shared" si="1"/>
        <v>852.17391304347825</v>
      </c>
      <c r="AE25" s="349">
        <f t="shared" si="14"/>
        <v>3.2203436363636366</v>
      </c>
      <c r="AF25" s="480">
        <f t="shared" si="15"/>
        <v>4.9497474683058327</v>
      </c>
      <c r="AG25" s="482" t="str">
        <f t="shared" si="16"/>
        <v/>
      </c>
      <c r="AH25" s="461" t="str">
        <f t="shared" si="2"/>
        <v>39D 1978-2</v>
      </c>
      <c r="AI25" s="350">
        <f t="shared" si="17"/>
        <v>8</v>
      </c>
      <c r="AJ25" s="350">
        <f t="shared" si="18"/>
        <v>50</v>
      </c>
      <c r="AK25" s="350">
        <f t="shared" si="19"/>
        <v>8</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CR440Y780T-DP-EG12/12</v>
      </c>
      <c r="BI25" s="473" t="str">
        <f t="shared" si="4"/>
        <v>TL 4225-AS30/30</v>
      </c>
      <c r="BJ25" s="473">
        <f t="shared" si="5"/>
        <v>0</v>
      </c>
      <c r="BM25" s="474">
        <f t="shared" si="6"/>
        <v>2.1</v>
      </c>
      <c r="BN25" s="475">
        <f t="shared" si="22"/>
        <v>2</v>
      </c>
      <c r="BO25" s="474">
        <f t="shared" si="7"/>
        <v>2.1</v>
      </c>
      <c r="BP25" s="474">
        <f t="shared" si="8"/>
        <v>2</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3"/>
      <c r="B26" s="281"/>
      <c r="C26" s="332">
        <v>7.1002799999999997</v>
      </c>
      <c r="D26" s="333" t="s">
        <v>1946</v>
      </c>
      <c r="E26" s="334" t="s">
        <v>1935</v>
      </c>
      <c r="F26" s="335" t="s">
        <v>1936</v>
      </c>
      <c r="G26" s="336" t="s">
        <v>1928</v>
      </c>
      <c r="H26" s="337" t="s">
        <v>1931</v>
      </c>
      <c r="I26" s="479" t="s">
        <v>1938</v>
      </c>
      <c r="J26" s="338">
        <v>-440.98</v>
      </c>
      <c r="K26" s="339">
        <v>-492.37</v>
      </c>
      <c r="L26" s="340">
        <v>168.92</v>
      </c>
      <c r="M26" s="342" t="s">
        <v>1929</v>
      </c>
      <c r="N26" s="342" t="s">
        <v>1932</v>
      </c>
      <c r="O26" s="342" t="s">
        <v>1188</v>
      </c>
      <c r="P26" s="319">
        <v>2.1</v>
      </c>
      <c r="Q26" s="320" t="s">
        <v>1001</v>
      </c>
      <c r="R26" s="355">
        <f>IF(AND(ISBLANK(P26),ISTEXT(Q26)),"t1?",IF(AND(ISBLANK(Q26),ISBLANK(P26)),"",VLOOKUP(BH26,Materialliste!$A$2:$B$1615,2,FALSE)))</f>
        <v>550</v>
      </c>
      <c r="S26" s="319">
        <v>0.8</v>
      </c>
      <c r="T26" s="320" t="s">
        <v>908</v>
      </c>
      <c r="U26" s="355">
        <f>IF(AND(ISBLANK(S26),ISTEXT(T26)),"t2?",IF(AND(ISBLANK(T26),ISBLANK(S26)),"",VLOOKUP(BI26,Materialliste!$A$2:$B$1615,2,FALSE)))</f>
        <v>720</v>
      </c>
      <c r="V26" s="319"/>
      <c r="W26" s="320"/>
      <c r="X26" s="355" t="str">
        <f>IF(AND(ISBLANK(V26),ISTEXT(W26)),"t3?",IF(AND(ISBLANK(W26),ISBLANK(V26)),"",VLOOKUP(BJ26,Materialliste!$A$2:$B$1615,2,FALSE)))</f>
        <v/>
      </c>
      <c r="Y26" s="443" t="s">
        <v>1925</v>
      </c>
      <c r="Z26" s="346">
        <f t="shared" si="0"/>
        <v>1.06</v>
      </c>
      <c r="AA26" s="347">
        <f t="shared" si="11"/>
        <v>1.0924242424242425</v>
      </c>
      <c r="AB26" s="454">
        <f t="shared" si="12"/>
        <v>2.6006612121212123</v>
      </c>
      <c r="AC26" s="348">
        <f t="shared" si="13"/>
        <v>9.1977999999999991</v>
      </c>
      <c r="AD26" s="323">
        <f>IF(OR(ISBLANK(G26),Z26="BLECH?"),"",IF(AND(BT26="J",G26="C"),60,IF(G26="B",60,IF(G26="R",150,IF(G26="S",90,IF(AND(G26="m",BT26="n"),350,IF(AND(G26="m",BT26="j"),50,MAX(MIN((((P26+S26+V26-1.4)*(600/4.6))+200)+BU26,900),200))))))))</f>
        <v>395.65217391304355</v>
      </c>
      <c r="AE26" s="349">
        <f t="shared" si="14"/>
        <v>2.6006612121212123</v>
      </c>
      <c r="AF26" s="480">
        <f t="shared" si="15"/>
        <v>3.1304951684997055</v>
      </c>
      <c r="AG26" s="482" t="str">
        <f t="shared" si="16"/>
        <v/>
      </c>
      <c r="AH26" s="461" t="str">
        <f t="shared" si="2"/>
        <v>39D 1978-2</v>
      </c>
      <c r="AI26" s="350">
        <f t="shared" si="17"/>
        <v>6</v>
      </c>
      <c r="AJ26" s="350">
        <f t="shared" si="18"/>
        <v>50</v>
      </c>
      <c r="AK26" s="350">
        <f t="shared" si="19"/>
        <v>6</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CR440Y780T-DP-EG12/12</v>
      </c>
      <c r="BI26" s="473" t="str">
        <f t="shared" si="4"/>
        <v>CR570Y780T-CP-GI40/40</v>
      </c>
      <c r="BJ26" s="473">
        <f t="shared" si="5"/>
        <v>0</v>
      </c>
      <c r="BM26" s="474">
        <f t="shared" si="6"/>
        <v>2.1</v>
      </c>
      <c r="BN26" s="475">
        <f t="shared" si="22"/>
        <v>0.8</v>
      </c>
      <c r="BO26" s="474">
        <f t="shared" si="7"/>
        <v>2.1</v>
      </c>
      <c r="BP26" s="474">
        <f t="shared" si="8"/>
        <v>0.8</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0</v>
      </c>
      <c r="CA26" s="298">
        <f t="shared" si="29"/>
        <v>0</v>
      </c>
      <c r="CB26" s="331"/>
      <c r="CH26" s="306" t="str">
        <f t="shared" si="30"/>
        <v>39D 1978-2</v>
      </c>
      <c r="CL26" s="306" t="str">
        <f t="shared" si="31"/>
        <v>39D 1978-2</v>
      </c>
    </row>
    <row r="27" spans="1:90" ht="33" customHeight="1">
      <c r="A27" s="923"/>
      <c r="B27" s="281"/>
      <c r="C27" s="332">
        <v>7.1002900000000002</v>
      </c>
      <c r="D27" s="333" t="s">
        <v>1947</v>
      </c>
      <c r="E27" s="334" t="s">
        <v>1935</v>
      </c>
      <c r="F27" s="335" t="s">
        <v>1936</v>
      </c>
      <c r="G27" s="336" t="s">
        <v>1928</v>
      </c>
      <c r="H27" s="337" t="s">
        <v>1931</v>
      </c>
      <c r="I27" s="479" t="s">
        <v>1938</v>
      </c>
      <c r="J27" s="338">
        <v>-355.22</v>
      </c>
      <c r="K27" s="339">
        <v>-470.15</v>
      </c>
      <c r="L27" s="340">
        <v>168.19</v>
      </c>
      <c r="M27" s="342" t="s">
        <v>1929</v>
      </c>
      <c r="N27" s="342" t="s">
        <v>1932</v>
      </c>
      <c r="O27" s="342" t="s">
        <v>1188</v>
      </c>
      <c r="P27" s="319">
        <v>2.1</v>
      </c>
      <c r="Q27" s="320" t="s">
        <v>1001</v>
      </c>
      <c r="R27" s="355">
        <f>IF(AND(ISBLANK(P27),ISTEXT(Q27)),"t1?",IF(AND(ISBLANK(Q27),ISBLANK(P27)),"",VLOOKUP(BH27,Materialliste!$A$2:$B$1615,2,FALSE)))</f>
        <v>550</v>
      </c>
      <c r="S27" s="319">
        <v>0.8</v>
      </c>
      <c r="T27" s="320" t="s">
        <v>908</v>
      </c>
      <c r="U27" s="355">
        <f>IF(AND(ISBLANK(S27),ISTEXT(T27)),"t2?",IF(AND(ISBLANK(T27),ISBLANK(S27)),"",VLOOKUP(BI27,Materialliste!$A$2:$B$1615,2,FALSE)))</f>
        <v>720</v>
      </c>
      <c r="V27" s="319"/>
      <c r="W27" s="320"/>
      <c r="X27" s="355" t="str">
        <f>IF(AND(ISBLANK(V27),ISTEXT(W27)),"t3?",IF(AND(ISBLANK(W27),ISBLANK(V27)),"",VLOOKUP(BJ27,Materialliste!$A$2:$B$1615,2,FALSE)))</f>
        <v/>
      </c>
      <c r="Y27" s="443" t="s">
        <v>1925</v>
      </c>
      <c r="Z27" s="346">
        <f t="shared" si="0"/>
        <v>1.06</v>
      </c>
      <c r="AA27" s="347">
        <f t="shared" si="11"/>
        <v>1.0924242424242425</v>
      </c>
      <c r="AB27" s="454">
        <f t="shared" si="12"/>
        <v>2.6006612121212123</v>
      </c>
      <c r="AC27" s="348">
        <f t="shared" si="13"/>
        <v>9.1977999999999991</v>
      </c>
      <c r="AD27" s="323">
        <f t="shared" ref="AD27:AD43" si="32">IF(OR(ISBLANK(G27),Z27="BLECH?"),"",IF(AND(BT27="J",G27="C"),60,IF(G27="B",60,IF(G27="R",150,IF(G27="S",90,IF(AND(G27="m",BT27="n"),350,IF(AND(G27="m",BT27="j"),50,MAX(MIN((((P27+S27+V27-1.4)*(600/4.6))+200)+BU27,900),200))))))))</f>
        <v>395.65217391304355</v>
      </c>
      <c r="AE27" s="349">
        <f t="shared" si="14"/>
        <v>2.6006612121212123</v>
      </c>
      <c r="AF27" s="480">
        <f t="shared" si="15"/>
        <v>3.1304951684997055</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CR440Y780T-DP-EG12/12</v>
      </c>
      <c r="BI27" s="473" t="str">
        <f t="shared" si="4"/>
        <v>CR570Y780T-CP-GI40/40</v>
      </c>
      <c r="BJ27" s="473">
        <f t="shared" si="5"/>
        <v>0</v>
      </c>
      <c r="BM27" s="474">
        <f t="shared" si="6"/>
        <v>2.1</v>
      </c>
      <c r="BN27" s="475">
        <f t="shared" si="22"/>
        <v>0.8</v>
      </c>
      <c r="BO27" s="474">
        <f t="shared" si="7"/>
        <v>2.1</v>
      </c>
      <c r="BP27" s="474">
        <f t="shared" si="8"/>
        <v>0.8</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0</v>
      </c>
      <c r="CA27" s="298">
        <f t="shared" si="29"/>
        <v>0</v>
      </c>
      <c r="CB27" s="331"/>
      <c r="CH27" s="306" t="str">
        <f t="shared" si="30"/>
        <v>39D 1978-2</v>
      </c>
      <c r="CL27" s="306" t="str">
        <f t="shared" si="31"/>
        <v>39D 1978-2</v>
      </c>
    </row>
    <row r="28" spans="1:90" ht="33" customHeight="1">
      <c r="A28" s="923"/>
      <c r="B28" s="281"/>
      <c r="C28" s="510">
        <v>7.1002999999999998</v>
      </c>
      <c r="D28" s="333" t="s">
        <v>1948</v>
      </c>
      <c r="E28" s="334" t="s">
        <v>1935</v>
      </c>
      <c r="F28" s="335" t="s">
        <v>1936</v>
      </c>
      <c r="G28" s="336" t="s">
        <v>1928</v>
      </c>
      <c r="H28" s="337" t="s">
        <v>1931</v>
      </c>
      <c r="I28" s="476" t="s">
        <v>1938</v>
      </c>
      <c r="J28" s="338">
        <v>-292</v>
      </c>
      <c r="K28" s="339">
        <v>-470.27</v>
      </c>
      <c r="L28" s="340">
        <v>166.5</v>
      </c>
      <c r="M28" s="342" t="s">
        <v>1929</v>
      </c>
      <c r="N28" s="342" t="s">
        <v>1932</v>
      </c>
      <c r="O28" s="342" t="s">
        <v>1188</v>
      </c>
      <c r="P28" s="319">
        <v>2.1</v>
      </c>
      <c r="Q28" s="320" t="s">
        <v>1001</v>
      </c>
      <c r="R28" s="355">
        <f>IF(AND(ISBLANK(P28),ISTEXT(Q28)),"t1?",IF(AND(ISBLANK(Q28),ISBLANK(P28)),"",VLOOKUP(BH28,Materialliste!$A$2:$B$1615,2,FALSE)))</f>
        <v>550</v>
      </c>
      <c r="S28" s="319">
        <v>0.8</v>
      </c>
      <c r="T28" s="320" t="s">
        <v>908</v>
      </c>
      <c r="U28" s="355">
        <f>IF(AND(ISBLANK(S28),ISTEXT(T28)),"t2?",IF(AND(ISBLANK(T28),ISBLANK(S28)),"",VLOOKUP(BI28,Materialliste!$A$2:$B$1615,2,FALSE)))</f>
        <v>720</v>
      </c>
      <c r="V28" s="319"/>
      <c r="W28" s="356"/>
      <c r="X28" s="355" t="str">
        <f>IF(AND(ISBLANK(V28),ISTEXT(W28)),"t3?",IF(AND(ISBLANK(W28),ISBLANK(V28)),"",VLOOKUP(BJ28,Materialliste!$A$2:$B$1615,2,FALSE)))</f>
        <v/>
      </c>
      <c r="Y28" s="443" t="s">
        <v>1925</v>
      </c>
      <c r="Z28" s="346">
        <f t="shared" si="0"/>
        <v>1.06</v>
      </c>
      <c r="AA28" s="347">
        <f t="shared" si="11"/>
        <v>1.0924242424242425</v>
      </c>
      <c r="AB28" s="454">
        <f t="shared" si="12"/>
        <v>2.6006612121212123</v>
      </c>
      <c r="AC28" s="348">
        <f t="shared" si="13"/>
        <v>9.1977999999999991</v>
      </c>
      <c r="AD28" s="323">
        <f t="shared" si="32"/>
        <v>395.65217391304355</v>
      </c>
      <c r="AE28" s="349">
        <f t="shared" si="14"/>
        <v>2.6006612121212123</v>
      </c>
      <c r="AF28" s="480">
        <f t="shared" si="15"/>
        <v>3.1304951684997055</v>
      </c>
      <c r="AG28" s="482" t="str">
        <f t="shared" si="16"/>
        <v/>
      </c>
      <c r="AH28" s="461" t="str">
        <f t="shared" si="2"/>
        <v>39D 1978-2</v>
      </c>
      <c r="AI28" s="350">
        <f t="shared" si="17"/>
        <v>6</v>
      </c>
      <c r="AJ28" s="350">
        <f t="shared" si="18"/>
        <v>50</v>
      </c>
      <c r="AK28" s="350">
        <f t="shared" si="19"/>
        <v>6</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CR440Y780T-DP-EG12/12</v>
      </c>
      <c r="BI28" s="473" t="str">
        <f t="shared" si="4"/>
        <v>CR570Y780T-CP-GI40/40</v>
      </c>
      <c r="BJ28" s="473">
        <f t="shared" si="5"/>
        <v>0</v>
      </c>
      <c r="BM28" s="474">
        <f t="shared" si="6"/>
        <v>2.1</v>
      </c>
      <c r="BN28" s="475">
        <f t="shared" si="22"/>
        <v>0.8</v>
      </c>
      <c r="BO28" s="474">
        <f t="shared" si="7"/>
        <v>2.1</v>
      </c>
      <c r="BP28" s="474">
        <f t="shared" si="8"/>
        <v>0.8</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0</v>
      </c>
      <c r="CA28" s="298">
        <f t="shared" si="29"/>
        <v>0</v>
      </c>
      <c r="CB28" s="331"/>
      <c r="CH28" s="306" t="str">
        <f t="shared" si="30"/>
        <v>39D 1978-2</v>
      </c>
      <c r="CL28" s="306" t="str">
        <f t="shared" si="31"/>
        <v>39D 1978-2</v>
      </c>
    </row>
    <row r="29" spans="1:90" ht="33" customHeight="1">
      <c r="A29" s="923"/>
      <c r="B29" s="281"/>
      <c r="C29" s="332">
        <v>7.1003100000000003</v>
      </c>
      <c r="D29" s="333" t="s">
        <v>1949</v>
      </c>
      <c r="E29" s="334" t="s">
        <v>1935</v>
      </c>
      <c r="F29" s="335" t="s">
        <v>1936</v>
      </c>
      <c r="G29" s="336" t="s">
        <v>1928</v>
      </c>
      <c r="H29" s="337" t="s">
        <v>1931</v>
      </c>
      <c r="I29" s="476" t="s">
        <v>1938</v>
      </c>
      <c r="J29" s="338">
        <v>-114.44</v>
      </c>
      <c r="K29" s="339">
        <v>-466.32</v>
      </c>
      <c r="L29" s="340">
        <v>162.71</v>
      </c>
      <c r="M29" s="342" t="s">
        <v>1929</v>
      </c>
      <c r="N29" s="342" t="s">
        <v>1930</v>
      </c>
      <c r="O29" s="342" t="s">
        <v>1188</v>
      </c>
      <c r="P29" s="319">
        <v>2.1</v>
      </c>
      <c r="Q29" s="320" t="s">
        <v>1001</v>
      </c>
      <c r="R29" s="355">
        <f>IF(AND(ISBLANK(P29),ISTEXT(Q29)),"t1?",IF(AND(ISBLANK(Q29),ISBLANK(P29)),"",VLOOKUP(BH29,Materialliste!$A$2:$B$1615,2,FALSE)))</f>
        <v>550</v>
      </c>
      <c r="S29" s="319">
        <v>3</v>
      </c>
      <c r="T29" s="320" t="s">
        <v>600</v>
      </c>
      <c r="U29" s="355">
        <f>IF(AND(ISBLANK(S29),ISTEXT(T29)),"t2?",IF(AND(ISBLANK(T29),ISBLANK(S29)),"",VLOOKUP(BI29,Materialliste!$A$2:$B$1615,2,FALSE)))</f>
        <v>350</v>
      </c>
      <c r="V29" s="319"/>
      <c r="W29" s="356"/>
      <c r="X29" s="355" t="str">
        <f>IF(AND(ISBLANK(V29),ISTEXT(W29)),"t3?",IF(AND(ISBLANK(W29),ISBLANK(V29)),"",VLOOKUP(BJ29,Materialliste!$A$2:$B$1615,2,FALSE)))</f>
        <v/>
      </c>
      <c r="Y29" s="443" t="s">
        <v>1925</v>
      </c>
      <c r="Z29" s="346">
        <f t="shared" si="0"/>
        <v>2.2800000000000002</v>
      </c>
      <c r="AA29" s="347">
        <f t="shared" si="11"/>
        <v>1.0363636363636364</v>
      </c>
      <c r="AB29" s="454">
        <f t="shared" si="12"/>
        <v>4.4972363636363646</v>
      </c>
      <c r="AC29" s="348">
        <f t="shared" si="13"/>
        <v>9.2200000000000006</v>
      </c>
      <c r="AD29" s="323">
        <f t="shared" si="32"/>
        <v>682.60869565217388</v>
      </c>
      <c r="AE29" s="349">
        <f t="shared" si="14"/>
        <v>4.4972363636363646</v>
      </c>
      <c r="AF29" s="480">
        <f t="shared" si="15"/>
        <v>5.0719818611663037</v>
      </c>
      <c r="AG29" s="482" t="str">
        <f t="shared" si="16"/>
        <v/>
      </c>
      <c r="AH29" s="461" t="str">
        <f t="shared" si="2"/>
        <v>39D 1978-2</v>
      </c>
      <c r="AI29" s="350">
        <f t="shared" si="17"/>
        <v>8</v>
      </c>
      <c r="AJ29" s="350">
        <f t="shared" si="18"/>
        <v>50</v>
      </c>
      <c r="AK29" s="350">
        <f t="shared" si="19"/>
        <v>8</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CR440Y780T-DP-EG12/12</v>
      </c>
      <c r="BI29" s="473" t="str">
        <f t="shared" si="4"/>
        <v>CR270LA-EG12/12</v>
      </c>
      <c r="BJ29" s="473">
        <f t="shared" si="5"/>
        <v>0</v>
      </c>
      <c r="BM29" s="474">
        <f t="shared" si="6"/>
        <v>3</v>
      </c>
      <c r="BN29" s="475">
        <f t="shared" si="22"/>
        <v>2.1</v>
      </c>
      <c r="BO29" s="474">
        <f t="shared" si="7"/>
        <v>2.1</v>
      </c>
      <c r="BP29" s="474">
        <f t="shared" si="8"/>
        <v>3</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0</v>
      </c>
      <c r="CA29" s="298">
        <f t="shared" si="29"/>
        <v>0</v>
      </c>
      <c r="CB29" s="331"/>
      <c r="CH29" s="306" t="str">
        <f t="shared" si="30"/>
        <v>39D 1978-2</v>
      </c>
      <c r="CL29" s="306" t="str">
        <f t="shared" si="31"/>
        <v>39D 1978-2</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2600</v>
      </c>
      <c r="I44" s="819" t="str">
        <f>IF($E$6="DE","Ausladung [mm]","Distance to Tip [mm]")</f>
        <v>Distance to Tip [mm]</v>
      </c>
      <c r="J44" s="835"/>
      <c r="K44" s="834"/>
      <c r="L44" s="412"/>
      <c r="M44" s="819" t="str">
        <f>IF($E$6="DE","Zylinderkraft min. [N]","Cyl. Force min. [N]")</f>
        <v>Cyl. Force min. [N]</v>
      </c>
      <c r="N44" s="834"/>
      <c r="O44" s="413" t="e">
        <f>IF(G8="J",(H44/L46)*2,H44/L46)</f>
        <v>#DIV/0!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6000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t="e">
        <f>IF(G8="J",(H45/L46)*2,H45/L46)</f>
        <v>#DIV/0!</v>
      </c>
      <c r="P45" s="828" t="str">
        <f>IF($E$6="DE","Zylinderdruck max. [bar]","Cyl. Pressure max. [bar]")</f>
        <v>Cyl. Pressure max. [bar]</v>
      </c>
      <c r="Q45" s="829"/>
      <c r="R45" s="981" t="e">
        <f>10*O45/(H46*E46)</f>
        <v>#DIV/0!</v>
      </c>
      <c r="S45" s="982"/>
      <c r="T45" s="1010" t="str">
        <f>IF(G6="RZ",BH49,IF(G6="SPZ",BH46,IF(G6="-","Zangentyp/Guntype?")))</f>
        <v>Max. Force of Gun acc.Drw.exceeded</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t="e">
        <f>IF(G19="X",L45/L44,1)</f>
        <v>#DIV/0!</v>
      </c>
      <c r="M46" s="830" t="str">
        <f>IF($E$6="DE","notwendige Motorkraft min. [N]","requiered Motor Force min. [N]")</f>
        <v>requiered Motor Force min. [N]</v>
      </c>
      <c r="N46" s="831"/>
      <c r="O46" s="422" t="e">
        <f>IF(G8="J",(H44/L46)*2,H44/L46)</f>
        <v>#DIV/0!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t="e">
        <f>IF(G8="J",(H45/L46)*2,H45/L46)</f>
        <v>#DIV/0!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1180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ST1180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8" priority="431" stopIfTrue="1" operator="equal">
      <formula>"Ergebnis des Druckbereichs i.O."</formula>
    </cfRule>
    <cfRule type="cellIs" dxfId="147" priority="432" stopIfTrue="1" operator="equal">
      <formula>"Ergebnis des Druckbereichs nicht i.O."</formula>
    </cfRule>
  </conditionalFormatting>
  <conditionalFormatting sqref="BH47">
    <cfRule type="cellIs" dxfId="146" priority="429" stopIfTrue="1" operator="equal">
      <formula>" "</formula>
    </cfRule>
    <cfRule type="cellIs" dxfId="145" priority="430" stopIfTrue="1" operator="equal">
      <formula>"Rücksprache Prozessmethodik"</formula>
    </cfRule>
  </conditionalFormatting>
  <conditionalFormatting sqref="X46">
    <cfRule type="cellIs" dxfId="144" priority="423" stopIfTrue="1" operator="notEqual">
      <formula>"39D 1978-2"</formula>
    </cfRule>
    <cfRule type="containsText" dxfId="143" priority="424" stopIfTrue="1" operator="containsText" text="39D 1978-2">
      <formula>NOT(ISERROR(SEARCH("39D 1978-2",X46)))</formula>
    </cfRule>
    <cfRule type="expression" priority="425" stopIfTrue="1">
      <formula>1</formula>
    </cfRule>
  </conditionalFormatting>
  <conditionalFormatting sqref="AA46">
    <cfRule type="cellIs" dxfId="142" priority="422" stopIfTrue="1" operator="notEqual">
      <formula>6</formula>
    </cfRule>
  </conditionalFormatting>
  <conditionalFormatting sqref="AB46">
    <cfRule type="cellIs" dxfId="141" priority="421" stopIfTrue="1" operator="notEqual">
      <formula>50</formula>
    </cfRule>
  </conditionalFormatting>
  <conditionalFormatting sqref="AC46">
    <cfRule type="cellIs" dxfId="140" priority="420" stopIfTrue="1" operator="notEqual">
      <formula>6</formula>
    </cfRule>
  </conditionalFormatting>
  <conditionalFormatting sqref="AD46">
    <cfRule type="cellIs" dxfId="139" priority="417" stopIfTrue="1" operator="notEqual">
      <formula>50</formula>
    </cfRule>
  </conditionalFormatting>
  <conditionalFormatting sqref="CB19:CB43">
    <cfRule type="cellIs" dxfId="138" priority="442" stopIfTrue="1" operator="equal">
      <formula>$AC$19</formula>
    </cfRule>
  </conditionalFormatting>
  <conditionalFormatting sqref="G19:G43">
    <cfRule type="expression" dxfId="137" priority="416" stopIfTrue="1">
      <formula>OR(AND(ISNUMBER($P19),ISBLANK($G19)),AND(ISTEXT($G19),ISBLANK($P19)))</formula>
    </cfRule>
  </conditionalFormatting>
  <conditionalFormatting sqref="BH46">
    <cfRule type="cellIs" dxfId="136" priority="400" operator="equal">
      <formula>"pressure level not allowed"</formula>
    </cfRule>
    <cfRule type="cellIs" dxfId="135" priority="401" operator="equal">
      <formula>"presure level allowed"</formula>
    </cfRule>
    <cfRule type="cellIs" dxfId="134" priority="402" operator="equal">
      <formula>"Max. Force of gun acc.Drw.exceeded!"</formula>
    </cfRule>
    <cfRule type="cellIs" dxfId="133" priority="412" stopIfTrue="1" operator="equal">
      <formula>"Zangenkraft lt.Zangenzeichnung überschritten!"</formula>
    </cfRule>
  </conditionalFormatting>
  <conditionalFormatting sqref="AE19:AE43">
    <cfRule type="expression" dxfId="132" priority="408">
      <formula>ISERROR(AE19)</formula>
    </cfRule>
  </conditionalFormatting>
  <conditionalFormatting sqref="BH47">
    <cfRule type="cellIs" dxfId="131" priority="399" operator="equal">
      <formula>"consult process methodology"</formula>
    </cfRule>
  </conditionalFormatting>
  <conditionalFormatting sqref="W47">
    <cfRule type="expression" dxfId="130" priority="443" stopIfTrue="1">
      <formula>ISBLANK($W$47)</formula>
    </cfRule>
  </conditionalFormatting>
  <conditionalFormatting sqref="G6">
    <cfRule type="cellIs" dxfId="129" priority="398" operator="equal">
      <formula>"-"</formula>
    </cfRule>
  </conditionalFormatting>
  <conditionalFormatting sqref="H44">
    <cfRule type="cellIs" dxfId="128" priority="397" operator="equal">
      <formula>"Zangentyp?"</formula>
    </cfRule>
  </conditionalFormatting>
  <conditionalFormatting sqref="BH49">
    <cfRule type="cellIs" dxfId="127" priority="395" stopIfTrue="1" operator="equal">
      <formula>"Zangen/Motorauslegung i.O."</formula>
    </cfRule>
    <cfRule type="cellIs" dxfId="126" priority="396" stopIfTrue="1" operator="equal">
      <formula>"Zangen/Motorauslegung nicht i.O."</formula>
    </cfRule>
  </conditionalFormatting>
  <conditionalFormatting sqref="BH49 BJ49:BK49">
    <cfRule type="cellIs" dxfId="125" priority="389" operator="equal">
      <formula>"Gun/Electromotor Design not O.K."</formula>
    </cfRule>
    <cfRule type="cellIs" dxfId="124" priority="390" operator="equal">
      <formula>"Gun/Electromotor Design O.K."</formula>
    </cfRule>
    <cfRule type="cellIs" dxfId="123" priority="391" operator="equal">
      <formula>"incorrect Gun Type/Gun Body/Gun Measure"</formula>
    </cfRule>
    <cfRule type="cellIs" dxfId="122" priority="392" operator="equal">
      <formula>"Max. Force of Gun acc.Drw.exceeded!"</formula>
    </cfRule>
    <cfRule type="cellIs" dxfId="121" priority="393" operator="equal">
      <formula>"max. Zangenkraft lt.Zeichnung überschritten!"</formula>
    </cfRule>
    <cfRule type="cellIs" dxfId="120" priority="394" stopIfTrue="1" operator="equal">
      <formula>"Zangentyp/-grundkörper/-maße falsch"</formula>
    </cfRule>
  </conditionalFormatting>
  <conditionalFormatting sqref="BH50">
    <cfRule type="cellIs" dxfId="119" priority="387" stopIfTrue="1" operator="equal">
      <formula>" "</formula>
    </cfRule>
    <cfRule type="cellIs" dxfId="118" priority="388" stopIfTrue="1" operator="equal">
      <formula>"Rücksprache Prozessmethodik"</formula>
    </cfRule>
  </conditionalFormatting>
  <conditionalFormatting sqref="T46">
    <cfRule type="cellIs" dxfId="117" priority="377" stopIfTrue="1" operator="equal">
      <formula>" "</formula>
    </cfRule>
    <cfRule type="cellIs" dxfId="116" priority="378" stopIfTrue="1" operator="equal">
      <formula>"Rücksprache Prozessmethodik"</formula>
    </cfRule>
  </conditionalFormatting>
  <conditionalFormatting sqref="T46">
    <cfRule type="cellIs" dxfId="115" priority="376" operator="equal">
      <formula>"consult process methodology"</formula>
    </cfRule>
  </conditionalFormatting>
  <conditionalFormatting sqref="T45">
    <cfRule type="cellIs" dxfId="114" priority="374" stopIfTrue="1" operator="equal">
      <formula>"Zangen/Motorauslegung i.O."</formula>
    </cfRule>
    <cfRule type="cellIs" dxfId="113" priority="375" stopIfTrue="1" operator="equal">
      <formula>"Zangen/Motorauslegung nicht i.O."</formula>
    </cfRule>
  </conditionalFormatting>
  <conditionalFormatting sqref="T45:W45">
    <cfRule type="cellIs" dxfId="112" priority="334" operator="equal">
      <formula>"Zangentyp/Guntype?"</formula>
    </cfRule>
    <cfRule type="cellIs" dxfId="111" priority="364" operator="equal">
      <formula>"Pressure level not allowed"</formula>
    </cfRule>
    <cfRule type="cellIs" dxfId="110" priority="365" operator="equal">
      <formula>"Presure level allowed"</formula>
    </cfRule>
    <cfRule type="cellIs" dxfId="109" priority="366" operator="equal">
      <formula>"Ergebnis des Druckbereichs nicht i.O."</formula>
    </cfRule>
    <cfRule type="cellIs" dxfId="108" priority="367" operator="equal">
      <formula>"Ergebnis des Druckbereichs i.O."</formula>
    </cfRule>
    <cfRule type="cellIs" dxfId="107" priority="368" operator="equal">
      <formula>"Gun/Electromotor Design not O.K."</formula>
    </cfRule>
    <cfRule type="cellIs" dxfId="106" priority="369" operator="equal">
      <formula>"Gun/Electromotor Design O.K."</formula>
    </cfRule>
    <cfRule type="cellIs" dxfId="105" priority="370" operator="equal">
      <formula>"incorrect Gun Type/Gun Body/Gun Measure"</formula>
    </cfRule>
    <cfRule type="cellIs" dxfId="104" priority="371" operator="equal">
      <formula>"Max. Force of Gun acc.Drw.exceeded!"</formula>
    </cfRule>
    <cfRule type="cellIs" dxfId="103" priority="372" operator="equal">
      <formula>"max. Zangenkraft lt.Zeichnung überschritten!"</formula>
    </cfRule>
    <cfRule type="cellIs" dxfId="102" priority="373" stopIfTrue="1" operator="equal">
      <formula>"Zangentyp/-grundkörper/-maße falsch"</formula>
    </cfRule>
  </conditionalFormatting>
  <conditionalFormatting sqref="E47">
    <cfRule type="expression" dxfId="101" priority="363">
      <formula>$G$6="SPZ"</formula>
    </cfRule>
  </conditionalFormatting>
  <conditionalFormatting sqref="E44">
    <cfRule type="expression" dxfId="100" priority="356">
      <formula>$G$6="RZ"</formula>
    </cfRule>
  </conditionalFormatting>
  <conditionalFormatting sqref="E46">
    <cfRule type="expression" dxfId="99" priority="217">
      <formula>$G$6="RZ"</formula>
    </cfRule>
  </conditionalFormatting>
  <conditionalFormatting sqref="L44">
    <cfRule type="expression" dxfId="98" priority="303">
      <formula>ISERR($L$46)</formula>
    </cfRule>
  </conditionalFormatting>
  <conditionalFormatting sqref="L45">
    <cfRule type="expression" dxfId="97" priority="302">
      <formula>ISERR($L$46)</formula>
    </cfRule>
  </conditionalFormatting>
  <conditionalFormatting sqref="Y19">
    <cfRule type="expression" dxfId="96" priority="284">
      <formula>ISERR(AE19)</formula>
    </cfRule>
  </conditionalFormatting>
  <conditionalFormatting sqref="Y20:Y43">
    <cfRule type="expression" dxfId="95" priority="283">
      <formula>ISERR(AE20)</formula>
    </cfRule>
  </conditionalFormatting>
  <conditionalFormatting sqref="S41:S43">
    <cfRule type="expression" dxfId="94" priority="274">
      <formula>$U41="t2?"</formula>
    </cfRule>
  </conditionalFormatting>
  <conditionalFormatting sqref="AN45:AN46">
    <cfRule type="cellIs" dxfId="93" priority="240" operator="equal">
      <formula>"Ja"</formula>
    </cfRule>
  </conditionalFormatting>
  <conditionalFormatting sqref="AE45:AE46">
    <cfRule type="expression" dxfId="92" priority="447">
      <formula>AN45="Ja"</formula>
    </cfRule>
  </conditionalFormatting>
  <conditionalFormatting sqref="AE47">
    <cfRule type="expression" dxfId="91" priority="448">
      <formula>AND(AN45="Ja",ISBLANK($AG$47))</formula>
    </cfRule>
  </conditionalFormatting>
  <conditionalFormatting sqref="AJ47">
    <cfRule type="expression" dxfId="90" priority="449">
      <formula>AND(AN45="Ja",ISBLANK($AL$47))</formula>
    </cfRule>
  </conditionalFormatting>
  <conditionalFormatting sqref="AG47">
    <cfRule type="expression" dxfId="89" priority="239">
      <formula>AND(AN45="Ja",ISBLANK($AG$47))</formula>
    </cfRule>
  </conditionalFormatting>
  <conditionalFormatting sqref="AL47">
    <cfRule type="expression" dxfId="88" priority="238">
      <formula>AND(AN45="Ja",ISBLANK($AL$47))</formula>
    </cfRule>
  </conditionalFormatting>
  <conditionalFormatting sqref="G8">
    <cfRule type="expression" dxfId="87" priority="237">
      <formula>NOT(OR(G8="J",G8="N"))</formula>
    </cfRule>
  </conditionalFormatting>
  <conditionalFormatting sqref="S31:S39">
    <cfRule type="expression" dxfId="86" priority="231">
      <formula>$R31="t1?"</formula>
    </cfRule>
  </conditionalFormatting>
  <conditionalFormatting sqref="S40">
    <cfRule type="expression" dxfId="85" priority="230">
      <formula>$U40="t2?"</formula>
    </cfRule>
  </conditionalFormatting>
  <conditionalFormatting sqref="H47">
    <cfRule type="expression" dxfId="84" priority="225">
      <formula>$G$6="SPZ"</formula>
    </cfRule>
  </conditionalFormatting>
  <conditionalFormatting sqref="L47">
    <cfRule type="expression" dxfId="83" priority="224">
      <formula>$G$6="SPZ"</formula>
    </cfRule>
  </conditionalFormatting>
  <conditionalFormatting sqref="O46">
    <cfRule type="expression" dxfId="82" priority="223">
      <formula>$G$6="SPZ"</formula>
    </cfRule>
  </conditionalFormatting>
  <conditionalFormatting sqref="O47">
    <cfRule type="expression" dxfId="81" priority="222">
      <formula>$G$6="SPZ"</formula>
    </cfRule>
  </conditionalFormatting>
  <conditionalFormatting sqref="R46">
    <cfRule type="expression" dxfId="80" priority="221">
      <formula>$G$6="SPZ"</formula>
    </cfRule>
  </conditionalFormatting>
  <conditionalFormatting sqref="R47">
    <cfRule type="expression" dxfId="79" priority="220">
      <formula>$G$6="SPZ"</formula>
    </cfRule>
  </conditionalFormatting>
  <conditionalFormatting sqref="X47">
    <cfRule type="expression" dxfId="78" priority="219">
      <formula>$G$6="SPZ"</formula>
    </cfRule>
  </conditionalFormatting>
  <conditionalFormatting sqref="AA47">
    <cfRule type="expression" dxfId="77" priority="218">
      <formula>$G$6="SPZ"</formula>
    </cfRule>
  </conditionalFormatting>
  <conditionalFormatting sqref="H46">
    <cfRule type="expression" dxfId="76" priority="216">
      <formula>$G$6="RZ"</formula>
    </cfRule>
  </conditionalFormatting>
  <conditionalFormatting sqref="O44">
    <cfRule type="expression" dxfId="75" priority="215">
      <formula>$G$6="RZ"</formula>
    </cfRule>
  </conditionalFormatting>
  <conditionalFormatting sqref="O45">
    <cfRule type="expression" dxfId="74" priority="214">
      <formula>$G$6="RZ"</formula>
    </cfRule>
  </conditionalFormatting>
  <conditionalFormatting sqref="R44">
    <cfRule type="expression" dxfId="73" priority="213">
      <formula>$G$6="RZ"</formula>
    </cfRule>
  </conditionalFormatting>
  <conditionalFormatting sqref="R45">
    <cfRule type="expression" dxfId="72" priority="212">
      <formula>$G$6="RZ"</formula>
    </cfRule>
  </conditionalFormatting>
  <conditionalFormatting sqref="C44:D45">
    <cfRule type="expression" dxfId="71" priority="211">
      <formula>$G$6="RZ"</formula>
    </cfRule>
  </conditionalFormatting>
  <conditionalFormatting sqref="C46:D46">
    <cfRule type="expression" dxfId="70" priority="210">
      <formula>$G$6="RZ"</formula>
    </cfRule>
  </conditionalFormatting>
  <conditionalFormatting sqref="F46:G46">
    <cfRule type="expression" dxfId="69" priority="209">
      <formula>$G$6="RZ"</formula>
    </cfRule>
  </conditionalFormatting>
  <conditionalFormatting sqref="M45:N45">
    <cfRule type="expression" dxfId="68" priority="208">
      <formula>$G$6="RZ"</formula>
    </cfRule>
  </conditionalFormatting>
  <conditionalFormatting sqref="P45:Q45">
    <cfRule type="expression" dxfId="67" priority="207">
      <formula>$G$6="RZ"</formula>
    </cfRule>
  </conditionalFormatting>
  <conditionalFormatting sqref="M44:N44">
    <cfRule type="expression" dxfId="66" priority="206">
      <formula>$G$6="RZ"</formula>
    </cfRule>
  </conditionalFormatting>
  <conditionalFormatting sqref="P44:Q44">
    <cfRule type="expression" dxfId="65" priority="205">
      <formula>$G$6="RZ"</formula>
    </cfRule>
  </conditionalFormatting>
  <conditionalFormatting sqref="C47:D47">
    <cfRule type="expression" dxfId="64" priority="204">
      <formula>$G$6="SPZ"</formula>
    </cfRule>
  </conditionalFormatting>
  <conditionalFormatting sqref="F47:G47">
    <cfRule type="expression" dxfId="63" priority="203">
      <formula>$G$6="SPZ"</formula>
    </cfRule>
  </conditionalFormatting>
  <conditionalFormatting sqref="I47">
    <cfRule type="expression" dxfId="62" priority="202">
      <formula>$G$6="SPZ"</formula>
    </cfRule>
  </conditionalFormatting>
  <conditionalFormatting sqref="M46:N46">
    <cfRule type="expression" dxfId="61" priority="201">
      <formula>$G$6="SPZ"</formula>
    </cfRule>
  </conditionalFormatting>
  <conditionalFormatting sqref="M47:N47">
    <cfRule type="expression" dxfId="60" priority="200">
      <formula>$G$6="SPZ"</formula>
    </cfRule>
  </conditionalFormatting>
  <conditionalFormatting sqref="P47:Q47">
    <cfRule type="expression" dxfId="59" priority="199">
      <formula>$G$6="SPZ"</formula>
    </cfRule>
  </conditionalFormatting>
  <conditionalFormatting sqref="P46:Q46">
    <cfRule type="expression" dxfId="58" priority="198">
      <formula>$G$6="SPZ"</formula>
    </cfRule>
  </conditionalFormatting>
  <conditionalFormatting sqref="AF45:AM46">
    <cfRule type="expression" dxfId="57" priority="451">
      <formula>BG45="Ja"</formula>
    </cfRule>
  </conditionalFormatting>
  <conditionalFormatting sqref="AF47">
    <cfRule type="expression" dxfId="56" priority="453">
      <formula>AND(BG45="Ja",ISBLANK($AG$47))</formula>
    </cfRule>
  </conditionalFormatting>
  <conditionalFormatting sqref="AK47">
    <cfRule type="expression" dxfId="55" priority="455">
      <formula>AND(BG45="Ja",ISBLANK($AL$47))</formula>
    </cfRule>
  </conditionalFormatting>
  <conditionalFormatting sqref="AH47:AI47">
    <cfRule type="expression" dxfId="54" priority="457">
      <formula>AND(BG45="Ja",ISBLANK($AG$47))</formula>
    </cfRule>
  </conditionalFormatting>
  <conditionalFormatting sqref="AM47:AN47">
    <cfRule type="expression" dxfId="53" priority="462">
      <formula>AND(BG45="Ja",ISBLANK($AL$47))</formula>
    </cfRule>
  </conditionalFormatting>
  <conditionalFormatting sqref="W21">
    <cfRule type="expression" dxfId="52" priority="154">
      <formula>CELL("Schutz",W21)</formula>
    </cfRule>
  </conditionalFormatting>
  <conditionalFormatting sqref="V21">
    <cfRule type="expression" dxfId="51" priority="155">
      <formula>$R21="t1?"</formula>
    </cfRule>
  </conditionalFormatting>
  <conditionalFormatting sqref="V22 V31:V43 V26:V29">
    <cfRule type="expression" dxfId="50" priority="183">
      <formula>$R22="t1?"</formula>
    </cfRule>
  </conditionalFormatting>
  <conditionalFormatting sqref="P41:P43">
    <cfRule type="expression" dxfId="49" priority="178">
      <formula>$U41="t2?"</formula>
    </cfRule>
  </conditionalFormatting>
  <conditionalFormatting sqref="P31:P39">
    <cfRule type="expression" dxfId="48" priority="176">
      <formula>$R31="t1?"</formula>
    </cfRule>
  </conditionalFormatting>
  <conditionalFormatting sqref="P40">
    <cfRule type="expression" dxfId="47" priority="175">
      <formula>$U40="t2?"</formula>
    </cfRule>
  </conditionalFormatting>
  <conditionalFormatting sqref="AE44:AN44">
    <cfRule type="containsText" dxfId="46" priority="153"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5" priority="146">
      <formula>$R19="t1?"</formula>
    </cfRule>
  </conditionalFormatting>
  <conditionalFormatting sqref="P20:P28">
    <cfRule type="expression" dxfId="44" priority="145">
      <formula>$R20="t1?"</formula>
    </cfRule>
  </conditionalFormatting>
  <conditionalFormatting sqref="P19:P28">
    <cfRule type="expression" dxfId="43" priority="142">
      <formula>CELL("Schutz",P19)</formula>
    </cfRule>
  </conditionalFormatting>
  <conditionalFormatting sqref="V19">
    <cfRule type="expression" dxfId="42" priority="135">
      <formula>$R19="t1?"</formula>
    </cfRule>
  </conditionalFormatting>
  <conditionalFormatting sqref="V19">
    <cfRule type="expression" dxfId="41" priority="134">
      <formula>CELL("Schutz",V19)</formula>
    </cfRule>
  </conditionalFormatting>
  <conditionalFormatting sqref="P29">
    <cfRule type="expression" dxfId="40" priority="132">
      <formula>$R29="t1?"</formula>
    </cfRule>
  </conditionalFormatting>
  <conditionalFormatting sqref="S29">
    <cfRule type="expression" dxfId="39" priority="131">
      <formula>$R29="t1?"</formula>
    </cfRule>
  </conditionalFormatting>
  <conditionalFormatting sqref="P30">
    <cfRule type="expression" dxfId="38" priority="130">
      <formula>$R30="t1?"</formula>
    </cfRule>
  </conditionalFormatting>
  <conditionalFormatting sqref="S30">
    <cfRule type="expression" dxfId="37" priority="129">
      <formula>$R30="t1?"</formula>
    </cfRule>
  </conditionalFormatting>
  <conditionalFormatting sqref="V30">
    <cfRule type="expression" dxfId="36" priority="128">
      <formula>$R30="t1?"</formula>
    </cfRule>
  </conditionalFormatting>
  <conditionalFormatting sqref="I19:I43">
    <cfRule type="aboveAverage" dxfId="35" priority="126" aboveAverage="0"/>
    <cfRule type="aboveAverage" dxfId="34" priority="127"/>
  </conditionalFormatting>
  <conditionalFormatting sqref="G20:G43">
    <cfRule type="expression" dxfId="33" priority="120">
      <formula>AND(BI10=TRUE,BH10=TRUE)</formula>
    </cfRule>
  </conditionalFormatting>
  <conditionalFormatting sqref="G19:G43">
    <cfRule type="expression" dxfId="32" priority="463">
      <formula>AND(G19="X",$BJ$9=TRUE,$BI$9=TRUE)</formula>
    </cfRule>
  </conditionalFormatting>
  <conditionalFormatting sqref="G20:G43">
    <cfRule type="expression" dxfId="31" priority="464">
      <formula>AND($BJ$9=TRUE,$BI$9=TRUE)</formula>
    </cfRule>
  </conditionalFormatting>
  <conditionalFormatting sqref="V25">
    <cfRule type="expression" dxfId="30" priority="107">
      <formula>$R25="t1?"</formula>
    </cfRule>
  </conditionalFormatting>
  <conditionalFormatting sqref="W25:W27">
    <cfRule type="expression" dxfId="29" priority="95">
      <formula>CELL("Schutz",W25)</formula>
    </cfRule>
  </conditionalFormatting>
  <conditionalFormatting sqref="T27">
    <cfRule type="expression" dxfId="28" priority="93">
      <formula>CELL("Schutz",T27)</formula>
    </cfRule>
  </conditionalFormatting>
  <conditionalFormatting sqref="Q22">
    <cfRule type="expression" dxfId="27" priority="82">
      <formula>CELL("Schutz",Q22)</formula>
    </cfRule>
  </conditionalFormatting>
  <conditionalFormatting sqref="S19:S28">
    <cfRule type="expression" dxfId="26" priority="67">
      <formula>$R19="t1?"</formula>
    </cfRule>
  </conditionalFormatting>
  <conditionalFormatting sqref="S19:S28">
    <cfRule type="expression" dxfId="25" priority="66">
      <formula>CELL("Schutz",S19)</formula>
    </cfRule>
  </conditionalFormatting>
  <conditionalFormatting sqref="T26">
    <cfRule type="expression" dxfId="24" priority="50">
      <formula>CELL("Schutz",T26)</formula>
    </cfRule>
  </conditionalFormatting>
  <conditionalFormatting sqref="V24">
    <cfRule type="expression" dxfId="23" priority="49">
      <formula>$R24="t1?"</formula>
    </cfRule>
  </conditionalFormatting>
  <conditionalFormatting sqref="V24">
    <cfRule type="expression" dxfId="22" priority="48">
      <formula>CELL("Schutz",V24)</formula>
    </cfRule>
  </conditionalFormatting>
  <conditionalFormatting sqref="W24">
    <cfRule type="expression" dxfId="21" priority="47">
      <formula>CELL("Schutz",W24)</formula>
    </cfRule>
  </conditionalFormatting>
  <conditionalFormatting sqref="W23">
    <cfRule type="expression" dxfId="20" priority="45">
      <formula>CELL("Schutz",W23)</formula>
    </cfRule>
  </conditionalFormatting>
  <conditionalFormatting sqref="V23">
    <cfRule type="expression" dxfId="19" priority="44">
      <formula>$R23="t1?"</formula>
    </cfRule>
  </conditionalFormatting>
  <conditionalFormatting sqref="V23">
    <cfRule type="expression" dxfId="18" priority="43">
      <formula>CELL("Schutz",V23)</formula>
    </cfRule>
  </conditionalFormatting>
  <conditionalFormatting sqref="V20">
    <cfRule type="expression" dxfId="17" priority="36">
      <formula>$R20="t1?"</formula>
    </cfRule>
  </conditionalFormatting>
  <conditionalFormatting sqref="Q19">
    <cfRule type="expression" dxfId="16" priority="32">
      <formula>CELL("Schutz",Q19)</formula>
    </cfRule>
  </conditionalFormatting>
  <conditionalFormatting sqref="W19">
    <cfRule type="expression" dxfId="15" priority="30">
      <formula>CELL("Schutz",W19)</formula>
    </cfRule>
  </conditionalFormatting>
  <conditionalFormatting sqref="AR8:AU8">
    <cfRule type="expression" dxfId="14" priority="16">
      <formula>OR(AND(ISBLANK($AR$8),COUNTBLANK($AH$8:$AN$8)&lt;7),AND(ISBLANK($AR$8),$BF$44&gt;0))</formula>
    </cfRule>
  </conditionalFormatting>
  <conditionalFormatting sqref="AY8:BB8">
    <cfRule type="expression" dxfId="13" priority="14">
      <formula>OR(AND(ISBLANK($AY$8),COUNTBLANK($AH$8:$AN$8)&lt;7),AND(ISBLANK($AY$8),$BF$44&gt;0))</formula>
    </cfRule>
  </conditionalFormatting>
  <conditionalFormatting sqref="AO8:AQ8">
    <cfRule type="expression" dxfId="12" priority="13">
      <formula>OR(COUNTBLANK($AH$8:$AN$8)&lt;7,$BF$44&gt;0)</formula>
    </cfRule>
  </conditionalFormatting>
  <conditionalFormatting sqref="AV8:AX8">
    <cfRule type="expression" dxfId="11" priority="12">
      <formula>OR(COUNTBLANK($AH$8:$AN$8)&lt;7,$BF$44&gt;0)</formula>
    </cfRule>
  </conditionalFormatting>
  <conditionalFormatting sqref="AK8">
    <cfRule type="expression" dxfId="10" priority="11">
      <formula>AND($BF$44&gt;0,ISBLANK(AK8))</formula>
    </cfRule>
  </conditionalFormatting>
  <conditionalFormatting sqref="AL8">
    <cfRule type="expression" dxfId="9" priority="10">
      <formula>AND($BF$44&gt;0,ISBLANK(AL8))</formula>
    </cfRule>
  </conditionalFormatting>
  <conditionalFormatting sqref="AM8">
    <cfRule type="expression" dxfId="8" priority="9">
      <formula>AND($BF$44&gt;0,ISBLANK(AM8))</formula>
    </cfRule>
  </conditionalFormatting>
  <conditionalFormatting sqref="AN8">
    <cfRule type="expression" dxfId="7" priority="8">
      <formula>AND($BF$44&gt;0,ISBLANK(AN8))</formula>
    </cfRule>
  </conditionalFormatting>
  <conditionalFormatting sqref="W20">
    <cfRule type="expression" dxfId="6" priority="7">
      <formula>CELL("Schutz",W20)</formula>
    </cfRule>
  </conditionalFormatting>
  <conditionalFormatting sqref="Q20:Q21">
    <cfRule type="expression" dxfId="5" priority="6">
      <formula>CELL("Schutz",Q20)</formula>
    </cfRule>
  </conditionalFormatting>
  <conditionalFormatting sqref="Q25:Q29">
    <cfRule type="expression" dxfId="4" priority="5">
      <formula>CELL("Schutz",Q25)</formula>
    </cfRule>
  </conditionalFormatting>
  <conditionalFormatting sqref="T22:T24">
    <cfRule type="expression" dxfId="3" priority="4">
      <formula>CELL("Schutz",T22)</formula>
    </cfRule>
  </conditionalFormatting>
  <conditionalFormatting sqref="Q23:Q24">
    <cfRule type="expression" dxfId="2" priority="3">
      <formula>CELL("Schutz",Q23)</formula>
    </cfRule>
  </conditionalFormatting>
  <conditionalFormatting sqref="T19:T21">
    <cfRule type="expression" dxfId="1" priority="2">
      <formula>CELL("Schutz",T19)</formula>
    </cfRule>
  </conditionalFormatting>
  <conditionalFormatting sqref="T25">
    <cfRule type="expression" dxfId="0" priority="1">
      <formula>CELL("Schutz",T25)</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4"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4"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4"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4"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4"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4"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2"/>
      <c r="C29" s="1108"/>
      <c r="D29" s="26" t="str">
        <f t="shared" ref="D29:D30" si="4">CONCATENATE(A29,$B$28,$C$28)</f>
        <v>KUKAC5000Tolomatic</v>
      </c>
      <c r="E29" s="25" t="s">
        <v>1740</v>
      </c>
      <c r="F29" s="26">
        <v>1500</v>
      </c>
      <c r="G29" s="26">
        <v>7560</v>
      </c>
      <c r="H29" s="25" t="s">
        <v>1696</v>
      </c>
    </row>
    <row r="30" spans="1:8" ht="15.75" thickBot="1">
      <c r="A30" s="24" t="s">
        <v>1153</v>
      </c>
      <c r="B30" s="1103"/>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2"/>
      <c r="C32" s="1108"/>
      <c r="D32" s="26" t="str">
        <f t="shared" ref="D32:D33" si="5">CONCATENATE(A32,$B$31,$C$28)</f>
        <v>KUKAC8000Tolomatic</v>
      </c>
      <c r="E32" s="466" t="s">
        <v>1741</v>
      </c>
      <c r="F32" s="26">
        <v>1500</v>
      </c>
      <c r="G32" s="26">
        <v>11100</v>
      </c>
      <c r="H32" s="25" t="s">
        <v>1742</v>
      </c>
    </row>
    <row r="33" spans="1:8" ht="15.75" thickBot="1">
      <c r="A33" s="24" t="s">
        <v>1153</v>
      </c>
      <c r="B33" s="1103"/>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2"/>
      <c r="C35" s="1108"/>
      <c r="D35" s="26" t="str">
        <f t="shared" ref="D35:D36" si="6">CONCATENATE(A35,$B$34,$C$28)</f>
        <v>KUKAC8000 TunnelTolomatic</v>
      </c>
      <c r="E35" s="25" t="s">
        <v>1741</v>
      </c>
      <c r="F35" s="26">
        <v>1500</v>
      </c>
      <c r="G35" s="26">
        <v>11100</v>
      </c>
      <c r="H35" s="25">
        <v>28330051</v>
      </c>
    </row>
    <row r="36" spans="1:8" ht="15.75" thickBot="1">
      <c r="A36" s="24" t="s">
        <v>1153</v>
      </c>
      <c r="B36" s="1103"/>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2"/>
      <c r="C38" s="1108"/>
      <c r="D38" s="26" t="str">
        <f t="shared" ref="D38:D39" si="7">CONCATENATE(A38,$B$37,$C$28)</f>
        <v>KUKAX100Tolomatic</v>
      </c>
      <c r="E38" s="25" t="s">
        <v>1743</v>
      </c>
      <c r="F38" s="26">
        <v>2000</v>
      </c>
      <c r="G38" s="26">
        <v>14680</v>
      </c>
      <c r="H38" s="25">
        <v>28440189</v>
      </c>
    </row>
    <row r="39" spans="1:8" ht="15.75" thickBot="1">
      <c r="A39" s="24" t="s">
        <v>1153</v>
      </c>
      <c r="B39" s="1103"/>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2"/>
      <c r="C41" s="1108"/>
      <c r="D41" s="26" t="str">
        <f t="shared" ref="D41:D42" si="8">CONCATENATE(A41,$B$40,$C$28)</f>
        <v>KUKAX125Tolomatic</v>
      </c>
      <c r="E41" s="25" t="s">
        <v>1744</v>
      </c>
      <c r="F41" s="26">
        <v>2500</v>
      </c>
      <c r="G41" s="26">
        <v>24000</v>
      </c>
      <c r="H41" s="26">
        <v>28440191</v>
      </c>
    </row>
    <row r="42" spans="1:8" ht="15.75" thickBot="1">
      <c r="A42" s="20" t="s">
        <v>1153</v>
      </c>
      <c r="B42" s="1103"/>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2"/>
      <c r="C44" s="1108"/>
      <c r="D44" s="26" t="str">
        <f t="shared" ref="D44:D45" si="9">CONCATENATE(A44,$B$43,$C$28)</f>
        <v>KUKAX125 (Doppelzange)Tolomatic</v>
      </c>
      <c r="E44" s="25" t="s">
        <v>1745</v>
      </c>
      <c r="F44" s="26">
        <v>2500</v>
      </c>
      <c r="G44" s="26">
        <v>24000</v>
      </c>
      <c r="H44" s="26">
        <v>28440212</v>
      </c>
    </row>
    <row r="45" spans="1:8" ht="15.75" thickBot="1">
      <c r="A45" s="20" t="s">
        <v>1153</v>
      </c>
      <c r="B45" s="1103"/>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8</vt:i4>
      </vt:variant>
      <vt:variant>
        <vt:lpstr>Intervalos nomeados</vt:lpstr>
      </vt:variant>
      <vt:variant>
        <vt:i4>4</vt:i4>
      </vt:variant>
    </vt:vector>
  </HeadingPairs>
  <TitlesOfParts>
    <vt:vector size="12" baseType="lpstr">
      <vt:lpstr>Blatt 0</vt:lpstr>
      <vt:lpstr>Blatt_1_1180R01</vt:lpstr>
      <vt:lpstr>Blatt_2_1180R01</vt:lpstr>
      <vt:lpstr>Punktplan LTVL_1_1180R01</vt:lpstr>
      <vt:lpstr>Materialliste</vt:lpstr>
      <vt:lpstr>Motordaten</vt:lpstr>
      <vt:lpstr>Hinweise (Notes)</vt:lpstr>
      <vt:lpstr>Änderungshistorie</vt:lpstr>
      <vt:lpstr>'Blatt 0'!Area_de_impressao</vt:lpstr>
      <vt:lpstr>Blatt_1_1180R01!Area_de_impressao</vt:lpstr>
      <vt:lpstr>Blatt_2_1180R01!Area_de_impressao</vt:lpstr>
      <vt:lpstr>'Punktplan LTVL_1_1180R01'!Area_de_impressao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2023-07-12T12:48:20Z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