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bookViews>
    <workbookView xWindow="0" yWindow="0" windowWidth="28800" windowHeight="12435" tabRatio="798" activeTab="2"/>
  </bookViews>
  <sheets>
    <sheet name="Blatt 0" sheetId="1" r:id="rId1"/>
    <sheet name="Blatt_1_1500R01" sheetId="38" r:id="rId2"/>
    <sheet name="Punktplan LTVL_4_1500"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LTVL_4_1500'!$M$19:$M$32</definedName>
    <definedName name="_xlnm.Print_Area" localSheetId="0">'Blatt 0'!$A$1:$AK$60</definedName>
    <definedName name="_xlnm.Print_Area" localSheetId="1">Blatt_1_1500R01!$A$1:$AK$60</definedName>
    <definedName name="_xlnm.Print_Area" localSheetId="2">'Punktplan LTVL_4_1500'!$A$1:$BB$58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<sst xmlns="http://schemas.openxmlformats.org/spreadsheetml/2006/main" count="2180" uniqueCount="1943">
  <si>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</si>
  <si>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</si>
  <si>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</si>
  <si>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</si>
  <si>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</si>
  <si>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</si>
  <si>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</si>
  <si>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</si>
  <si>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</si>
  <si>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</si>
  <si>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</si>
  <si>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</si>
  <si>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</si>
  <si>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</si>
  <si>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</si>
  <si>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</si>
  <si>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</si>
  <si>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</si>
  <si>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</si>
  <si>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</si>
  <si>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</si>
  <si>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</si>
  <si>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</si>
  <si>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</si>
  <si>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</si>
  <si>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</si>
  <si>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</si>
  <si>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</si>
  <si>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</si>
  <si>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</si>
  <si>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</si>
  <si>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</si>
  <si>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</si>
  <si>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</si>
  <si>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</si>
  <si>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</si>
  <si>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</si>
  <si>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</si>
  <si>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</si>
  <si>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</si>
  <si>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</si>
  <si>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</si>
  <si>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</si>
  <si>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</si>
  <si>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</si>
  <si>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</si>
  <si>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</si>
  <si>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</si>
  <si>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</si>
  <si>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</si>
  <si>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</si>
  <si>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</si>
  <si>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</si>
  <si>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</si>
  <si>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</si>
  <si>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</si>
  <si>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</si>
  <si>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</si>
  <si>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</si>
  <si>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</si>
  <si>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</si>
  <si>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</si>
  <si>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</si>
  <si>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</si>
  <si>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</si>
  <si>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</si>
  <si>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</si>
  <si>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</si>
  <si>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</si>
  <si>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</si>
  <si>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</si>
  <si>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</si>
  <si>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</si>
  <si>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</si>
  <si>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</si>
  <si>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</si>
  <si>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</si>
  <si>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</si>
  <si>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</si>
  <si>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</si>
  <si>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</si>
  <si>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</si>
  <si>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</si>
  <si>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</si>
  <si>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</si>
  <si>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</si>
  <si>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</si>
  <si>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</si>
  <si>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</si>
  <si>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</si>
  <si>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</si>
  <si>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</si>
  <si>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</si>
  <si>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</si>
  <si>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</si>
  <si>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</si>
  <si>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</si>
  <si>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</si>
  <si>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</si>
  <si>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</si>
  <si>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</si>
  <si>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</si>
  <si>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</si>
  <si>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</si>
  <si>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</si>
  <si>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</si>
  <si>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</si>
  <si>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</si>
  <si>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</si>
  <si>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</si>
  <si>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</si>
  <si>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</si>
  <si>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</si>
  <si>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</si>
  <si>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</si>
  <si>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</si>
  <si>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</si>
  <si>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</si>
  <si>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</si>
  <si>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</si>
  <si>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</si>
  <si>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</si>
  <si>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</si>
  <si>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</si>
  <si>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</si>
  <si>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</si>
  <si>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</si>
  <si>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</si>
  <si>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</si>
  <si>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</si>
  <si>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</si>
  <si>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</si>
  <si>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</si>
  <si>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</si>
  <si>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</si>
  <si>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</si>
  <si>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</si>
  <si>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</si>
  <si>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</si>
  <si>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</si>
  <si>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</si>
  <si>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</si>
  <si>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</si>
  <si>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</si>
  <si>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</si>
  <si>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</si>
  <si>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</si>
  <si>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</si>
  <si>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</si>
  <si>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</si>
  <si>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</si>
  <si>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</si>
  <si>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</si>
  <si>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</si>
  <si>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</si>
  <si>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</si>
  <si>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</si>
  <si>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</si>
  <si>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</si>
  <si>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</si>
  <si>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</si>
  <si>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</si>
  <si>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</si>
  <si>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</si>
  <si>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</si>
  <si>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</si>
  <si>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</si>
  <si>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</si>
  <si>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</si>
  <si>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</si>
  <si>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</si>
  <si>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</si>
  <si>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</si>
  <si>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</si>
  <si>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</si>
  <si>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</si>
  <si>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</si>
  <si>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</si>
  <si>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</si>
  <si>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</si>
  <si>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</si>
  <si>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</si>
  <si>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</si>
  <si>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</si>
  <si>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</si>
  <si>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</si>
  <si>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</si>
  <si>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</si>
  <si>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</si>
  <si>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</si>
  <si>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</si>
  <si>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</si>
  <si>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</si>
  <si>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</si>
  <si>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</si>
  <si>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</si>
  <si>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</si>
  <si>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</si>
  <si>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</si>
  <si>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</si>
  <si>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</si>
  <si>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</si>
  <si>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</si>
  <si>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</si>
  <si>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</si>
  <si>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</si>
  <si>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</si>
  <si>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</si>
  <si>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</si>
  <si>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</si>
  <si>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</si>
  <si>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</si>
  <si>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</si>
  <si>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</si>
  <si>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</si>
  <si>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</si>
  <si>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</si>
  <si>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</si>
  <si>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</si>
  <si>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</si>
  <si>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</si>
  <si>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</si>
  <si>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</si>
  <si>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</si>
  <si>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</si>
  <si>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</si>
  <si>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</si>
  <si>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</si>
  <si>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</si>
  <si>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</si>
  <si>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</si>
  <si>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</si>
  <si>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</si>
  <si>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</si>
  <si>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</si>
  <si>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</si>
  <si>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</si>
  <si>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</si>
  <si>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</si>
  <si>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</si>
  <si>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</si>
  <si>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</si>
  <si>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</si>
  <si>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</si>
  <si>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</si>
  <si>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</si>
  <si>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</si>
  <si>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</si>
  <si>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</si>
  <si>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</si>
  <si>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</si>
  <si>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</si>
  <si>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</si>
  <si>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</si>
  <si>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</si>
  <si>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</si>
  <si>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</si>
  <si>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</si>
  <si>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</si>
  <si>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</si>
  <si>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</si>
  <si>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</si>
  <si>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</si>
  <si>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</si>
  <si>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</si>
  <si>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</si>
  <si>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</si>
  <si>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</si>
  <si>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</si>
  <si>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</si>
  <si>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</si>
  <si>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</si>
  <si>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</si>
  <si>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</si>
  <si>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</si>
  <si>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</si>
  <si>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</si>
  <si>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</si>
  <si>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</si>
  <si>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</si>
  <si>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</si>
  <si>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</si>
  <si>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</si>
  <si>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</si>
  <si>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</si>
  <si>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</si>
  <si>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</si>
  <si>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</si>
  <si>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</si>
  <si>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</si>
  <si>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</si>
  <si>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</si>
  <si>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</si>
  <si>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</si>
  <si>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</si>
  <si>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</si>
  <si>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</si>
  <si>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</si>
  <si>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</si>
  <si>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</si>
  <si>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</si>
  <si>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</si>
  <si>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</si>
  <si>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</si>
  <si>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</si>
  <si>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</si>
  <si>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</si>
  <si>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</si>
  <si>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</si>
  <si>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</si>
  <si>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</si>
  <si>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</si>
  <si>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</si>
  <si>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</si>
  <si>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</si>
  <si>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</si>
  <si>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</si>
  <si>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</si>
  <si>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</si>
  <si>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</si>
  <si>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</si>
  <si>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</si>
  <si>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</si>
  <si>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</si>
  <si>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</si>
  <si>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</si>
  <si>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</si>
  <si>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</si>
  <si>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</si>
  <si>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</si>
  <si>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</si>
  <si>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</si>
  <si>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</si>
  <si>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</si>
  <si>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</si>
  <si>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</si>
  <si>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</si>
  <si>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</si>
  <si>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</si>
  <si>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</si>
  <si>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</si>
  <si>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</si>
  <si>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</si>
  <si>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</si>
  <si>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</si>
  <si>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</si>
  <si>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</si>
  <si>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</si>
  <si>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</si>
  <si>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</si>
  <si>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</si>
  <si>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</si>
  <si>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</si>
  <si>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</si>
  <si>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</si>
  <si>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</si>
  <si>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</si>
  <si>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</si>
  <si>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</si>
  <si>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</si>
  <si>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</si>
  <si>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</si>
  <si>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</si>
  <si>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</si>
  <si>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</si>
  <si>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</si>
  <si>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</si>
  <si>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</si>
  <si>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</si>
  <si>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</si>
  <si>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</si>
  <si>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</si>
  <si>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</si>
  <si>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</si>
  <si>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</si>
  <si>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</si>
  <si>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</si>
  <si>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</si>
  <si>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</si>
  <si>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</si>
  <si>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</si>
  <si>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</si>
  <si>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</si>
  <si>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</si>
  <si>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</si>
  <si>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</si>
  <si>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</si>
  <si>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</si>
  <si>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</si>
  <si>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</si>
  <si>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</si>
  <si>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</si>
  <si>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</si>
  <si>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</si>
  <si>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</si>
  <si>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</si>
  <si>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</si>
  <si>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</si>
  <si>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</si>
  <si>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</si>
  <si>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</si>
  <si>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</si>
  <si>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</si>
  <si>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</si>
  <si>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</si>
  <si>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</si>
  <si>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</si>
  <si>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</si>
  <si>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</si>
  <si>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</si>
  <si>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</si>
  <si>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</si>
  <si>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</si>
  <si>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</si>
  <si>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</si>
  <si>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</si>
  <si>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</si>
  <si>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</si>
  <si>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</si>
  <si>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</si>
  <si>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</si>
  <si>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</si>
  <si>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</si>
  <si>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</si>
  <si>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</si>
  <si>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</si>
  <si>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</si>
  <si>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</si>
  <si>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</si>
  <si>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</si>
  <si>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</si>
  <si>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</si>
  <si>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</si>
  <si>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</si>
  <si>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</si>
  <si>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</si>
  <si>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</si>
  <si>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</si>
  <si>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</si>
  <si>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</si>
  <si>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</si>
  <si>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</si>
  <si>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</si>
  <si>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</si>
  <si>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</si>
  <si>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</si>
  <si>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</si>
  <si>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</si>
  <si>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</si>
  <si>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</si>
  <si>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</si>
  <si>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</si>
  <si>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</si>
  <si>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</si>
  <si>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</si>
  <si>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</si>
  <si>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</si>
  <si>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</si>
  <si>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</si>
  <si>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</si>
  <si>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</si>
  <si>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</si>
  <si>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</si>
  <si>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</si>
  <si>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</si>
  <si>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</si>
  <si>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</si>
  <si>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</si>
  <si>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</si>
  <si>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</si>
  <si>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</si>
  <si>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</si>
  <si>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</si>
  <si>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</si>
  <si>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</si>
  <si>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</si>
  <si>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</si>
  <si>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</si>
  <si>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</si>
  <si>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</si>
  <si>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</si>
  <si>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</si>
  <si>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</si>
  <si>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</si>
  <si>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</si>
  <si>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</si>
  <si>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</si>
  <si>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</si>
  <si>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</si>
  <si>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</si>
  <si>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</si>
  <si>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</si>
  <si>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</si>
  <si>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</si>
  <si>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</si>
  <si>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</si>
  <si>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</si>
  <si>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</si>
  <si>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</si>
  <si>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</si>
  <si>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</si>
  <si>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</si>
  <si>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</si>
  <si>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</si>
  <si>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</si>
  <si>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</si>
  <si>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</si>
  <si>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</si>
  <si>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</si>
  <si>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</si>
  <si>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</si>
  <si>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</si>
  <si>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</si>
  <si>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</si>
  <si>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</si>
  <si>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</si>
  <si>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</si>
  <si>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</si>
  <si>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</si>
  <si>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</si>
  <si>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</si>
  <si>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</si>
  <si>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</si>
  <si>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</si>
  <si>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</si>
  <si>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</si>
  <si>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</si>
  <si>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</si>
  <si>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</si>
  <si>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</si>
  <si>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</si>
  <si>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</si>
  <si>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</si>
  <si>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</si>
  <si>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</si>
  <si>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</si>
  <si>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</si>
  <si>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</si>
  <si>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</si>
  <si>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</si>
  <si>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</si>
  <si>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</si>
  <si>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</si>
  <si>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</si>
  <si>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</si>
  <si>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</si>
  <si>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</si>
  <si>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</si>
  <si>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</si>
  <si>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</si>
  <si>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</si>
  <si>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</si>
  <si>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</si>
  <si>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</si>
  <si>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</si>
  <si>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</si>
  <si>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</si>
  <si>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</si>
  <si>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</si>
  <si>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</si>
  <si>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</si>
  <si>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</si>
  <si>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</si>
  <si>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</si>
  <si>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</si>
  <si>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</si>
  <si>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</si>
  <si>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</si>
  <si>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</si>
  <si>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</si>
  <si>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</si>
  <si>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</si>
  <si>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</si>
  <si>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</si>
  <si>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</si>
  <si>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</si>
  <si>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</si>
  <si>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</si>
  <si>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</si>
  <si>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</si>
  <si>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</si>
  <si>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</si>
  <si>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</si>
  <si>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</si>
  <si>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</si>
  <si>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</si>
  <si>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</si>
  <si>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</si>
  <si>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</si>
  <si>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</si>
  <si>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</si>
  <si>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</si>
  <si>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</si>
  <si>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</si>
  <si>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</si>
  <si>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</si>
  <si>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</si>
  <si>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</si>
  <si>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</si>
  <si>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</si>
  <si>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</si>
  <si>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</si>
  <si>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</si>
  <si>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</si>
  <si>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</si>
  <si>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</si>
  <si>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</si>
  <si>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</si>
  <si>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</si>
  <si>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</si>
  <si>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</si>
  <si>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</si>
  <si>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</si>
  <si>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</si>
  <si>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</si>
  <si>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</si>
  <si>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</si>
  <si>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</si>
  <si>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</si>
  <si>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</si>
  <si>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</si>
  <si>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</si>
  <si>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</si>
  <si>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</si>
  <si>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</si>
  <si>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</si>
  <si>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</si>
  <si>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</si>
  <si>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</si>
  <si>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</si>
  <si>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</si>
  <si>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</si>
  <si>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</si>
  <si>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</si>
  <si>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</si>
  <si>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</si>
  <si>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</si>
  <si>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</si>
  <si>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</si>
  <si>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</si>
  <si>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</si>
  <si>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</si>
  <si>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</si>
  <si>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</si>
  <si>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</si>
  <si>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</si>
  <si>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</si>
  <si>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</si>
  <si>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</si>
  <si>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</si>
  <si>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</si>
  <si>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</si>
  <si>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</si>
  <si>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</si>
  <si>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</si>
  <si>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</si>
  <si>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</si>
  <si>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</si>
  <si>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</si>
  <si>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</si>
  <si>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</si>
  <si>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</si>
  <si>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</si>
  <si>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</si>
  <si>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</si>
  <si>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</si>
  <si>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</si>
  <si>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</si>
  <si>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</si>
  <si>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</si>
  <si>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</si>
  <si>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</si>
  <si>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</si>
  <si>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</si>
  <si>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</si>
  <si>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</si>
  <si>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</si>
  <si>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</si>
  <si>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</si>
  <si>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</si>
  <si>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</si>
  <si>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</si>
  <si>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</si>
  <si>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</si>
  <si>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</si>
  <si>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</si>
  <si>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</si>
  <si>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</si>
  <si>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</si>
  <si>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</si>
  <si>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</si>
  <si>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</si>
  <si>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</si>
  <si>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</si>
  <si>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</si>
  <si>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</si>
  <si>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</si>
  <si>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</si>
  <si>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</si>
  <si>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</si>
  <si>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</si>
  <si>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</si>
  <si>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</si>
  <si>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</si>
  <si>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</si>
  <si>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</si>
  <si>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</si>
  <si>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</si>
  <si>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</si>
  <si>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</si>
  <si>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</si>
  <si>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</si>
  <si>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</si>
  <si>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</si>
  <si>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</si>
  <si>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</si>
  <si>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</si>
  <si>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</si>
  <si>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</si>
  <si>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</si>
  <si>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</si>
  <si>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</si>
  <si>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</si>
  <si>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</si>
  <si>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</si>
  <si>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</si>
  <si>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</si>
  <si>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</si>
  <si>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</si>
  <si>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</si>
  <si>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</si>
  <si>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</si>
  <si>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</si>
  <si>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</si>
  <si>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</si>
  <si>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</si>
  <si>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</si>
  <si>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</si>
  <si>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</si>
  <si>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</si>
  <si>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</si>
  <si>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</si>
  <si>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</si>
  <si>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</si>
  <si>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</si>
  <si>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</si>
  <si>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</si>
  <si>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</si>
  <si>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</si>
  <si>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</si>
  <si>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</si>
  <si>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</si>
  <si>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</si>
  <si>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</si>
  <si>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</si>
  <si>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</si>
  <si>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</si>
  <si>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</si>
  <si>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</si>
  <si>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</si>
  <si>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</si>
  <si>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</si>
  <si>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</si>
  <si>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</si>
  <si>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</si>
  <si>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</si>
  <si>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</si>
  <si>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</si>
  <si>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</si>
  <si>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</si>
  <si>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</si>
  <si>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</si>
  <si>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</si>
  <si>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</si>
  <si>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</si>
  <si>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</si>
  <si>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</si>
  <si>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</si>
  <si>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</si>
  <si>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</si>
  <si>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</si>
  <si>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</si>
  <si>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</si>
  <si>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</si>
  <si>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</si>
  <si>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</si>
  <si>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</si>
  <si>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</si>
  <si>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</si>
  <si>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</si>
  <si>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</si>
  <si>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</si>
  <si>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</si>
  <si>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</si>
  <si>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</si>
  <si>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</si>
  <si>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</si>
  <si>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</si>
  <si>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</si>
  <si>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</si>
  <si>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</si>
  <si>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</si>
  <si>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</si>
  <si>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</si>
  <si>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</si>
  <si>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</si>
  <si>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</si>
  <si>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</si>
  <si>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</si>
  <si>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</si>
  <si>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</si>
  <si>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</si>
  <si>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</si>
  <si>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</si>
  <si>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</si>
  <si>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</si>
  <si>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</si>
  <si>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</si>
  <si>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</si>
  <si>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</si>
  <si>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</si>
  <si>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</si>
  <si>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</si>
  <si>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</si>
  <si>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</si>
  <si>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</si>
  <si>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</si>
  <si>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</si>
  <si>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</si>
  <si>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</si>
  <si>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</si>
  <si>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</si>
  <si>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</si>
  <si>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</si>
  <si>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</si>
  <si>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</si>
  <si>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</si>
  <si>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</si>
  <si>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</si>
  <si>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</si>
  <si>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</si>
  <si>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</si>
  <si>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</si>
  <si>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</si>
  <si>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</si>
  <si>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</si>
  <si>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</si>
  <si>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</si>
  <si>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</si>
  <si>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</si>
  <si>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</si>
  <si>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</si>
  <si>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</si>
  <si>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</si>
  <si>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</si>
  <si>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</si>
  <si>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</si>
  <si>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</si>
  <si>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</si>
  <si>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</si>
  <si>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</si>
  <si>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</si>
  <si>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</si>
  <si>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</si>
  <si>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</si>
  <si>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</si>
  <si>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</si>
  <si>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</si>
  <si>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</si>
  <si>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</si>
  <si>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</si>
  <si>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</si>
  <si>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</si>
  <si>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</si>
  <si>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</si>
  <si>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</si>
  <si>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</si>
  <si>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</si>
  <si>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</si>
  <si>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</si>
  <si>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</si>
  <si>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</si>
  <si>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</si>
  <si>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</si>
  <si>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</si>
  <si>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</si>
  <si>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</si>
  <si>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</si>
  <si>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</si>
  <si>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</si>
  <si>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</si>
  <si>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</si>
  <si>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</si>
  <si>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</si>
  <si>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</si>
  <si>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</si>
  <si>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</si>
  <si>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</si>
  <si>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</si>
  <si>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</si>
  <si>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</si>
  <si>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</si>
  <si>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</si>
  <si>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</si>
  <si>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</si>
  <si>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</si>
  <si>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</si>
  <si>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</si>
  <si>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</si>
  <si>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</si>
  <si>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</si>
  <si>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</si>
  <si>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</si>
  <si>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</si>
  <si>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</si>
  <si>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</si>
  <si>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</si>
  <si>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</si>
  <si>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</si>
  <si>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</si>
  <si>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</si>
  <si>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</si>
  <si>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</si>
  <si>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</si>
  <si>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</si>
  <si>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</si>
  <si>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</si>
  <si>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</si>
  <si>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</si>
  <si>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</si>
  <si>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</si>
  <si>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</si>
  <si>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</si>
  <si>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</si>
  <si>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</si>
  <si>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</si>
  <si>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</si>
  <si>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</si>
  <si>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</si>
  <si>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</si>
  <si>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</si>
  <si>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</si>
  <si>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</si>
  <si>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</si>
  <si>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</si>
  <si>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</si>
  <si>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</si>
  <si>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</si>
  <si>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</si>
  <si>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</si>
  <si>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</si>
  <si>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</si>
  <si>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</si>
  <si>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</si>
  <si>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</si>
  <si>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</si>
  <si>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</si>
  <si>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</si>
  <si>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</si>
  <si>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</si>
  <si>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</si>
  <si>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</si>
  <si>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</si>
  <si>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</si>
  <si>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</si>
  <si>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</si>
  <si>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</si>
  <si>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</si>
  <si>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</si>
  <si>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</si>
  <si>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</si>
  <si>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</si>
  <si>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</si>
  <si>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</si>
  <si>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</si>
  <si>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</si>
  <si>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</si>
  <si>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</si>
  <si>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</si>
  <si>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</si>
  <si>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</si>
  <si>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</si>
  <si>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</si>
  <si>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</si>
  <si>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</si>
  <si>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</si>
  <si>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</si>
  <si>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</si>
  <si>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</si>
  <si>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</si>
  <si>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</si>
  <si>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</si>
  <si>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</si>
  <si>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</si>
  <si>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</si>
  <si>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</si>
  <si>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</si>
  <si>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</si>
  <si>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</si>
  <si>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</si>
  <si>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</si>
  <si>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</si>
  <si>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</si>
  <si>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</si>
  <si>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</si>
  <si>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</si>
  <si>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</si>
  <si>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</si>
  <si>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</si>
  <si>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</si>
  <si>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</si>
  <si>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</si>
  <si>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</si>
  <si>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</si>
  <si>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</si>
  <si>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</si>
  <si>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</si>
  <si>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</si>
  <si>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</si>
  <si>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</si>
  <si>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</si>
  <si>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</si>
  <si>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</si>
  <si>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</si>
  <si>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</si>
  <si>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</si>
  <si>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</si>
  <si>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</si>
  <si>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</si>
  <si>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</si>
  <si>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</si>
  <si>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</si>
  <si>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</si>
  <si>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</si>
  <si>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</si>
  <si>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</si>
  <si>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</si>
  <si>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</si>
  <si>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</si>
  <si>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</si>
  <si>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</si>
  <si>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</si>
  <si>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</si>
  <si>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</si>
  <si>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</si>
  <si>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</si>
  <si>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</si>
  <si>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</si>
  <si>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</si>
  <si>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</si>
  <si>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</si>
  <si>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</si>
  <si>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</si>
  <si>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</si>
  <si>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</si>
  <si>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</si>
  <si>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</si>
  <si>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</si>
  <si>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</si>
  <si>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</si>
  <si>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</si>
  <si>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</si>
  <si>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</si>
  <si>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</si>
  <si>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</si>
  <si>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</si>
  <si>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</si>
  <si>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</si>
  <si>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</si>
  <si>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</si>
  <si>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</si>
  <si>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</si>
  <si>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</si>
  <si>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</si>
  <si>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</si>
  <si>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</si>
  <si>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</si>
  <si>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</si>
  <si>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</si>
  <si>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</si>
  <si>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</si>
  <si>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</si>
  <si>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</si>
  <si>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</si>
  <si>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</si>
  <si>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</si>
  <si>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</si>
  <si>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</si>
  <si>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</si>
  <si>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</si>
  <si>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</si>
  <si>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</si>
  <si>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</si>
  <si>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</si>
  <si>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</si>
  <si>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</si>
  <si>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</si>
  <si>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</si>
  <si>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</si>
  <si>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</si>
  <si>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</si>
  <si>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</si>
  <si>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</si>
  <si>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</si>
  <si>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</si>
  <si>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</si>
  <si>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</si>
  <si>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</si>
  <si>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</si>
  <si>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</si>
  <si>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</si>
  <si>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</si>
  <si>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</si>
  <si>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</si>
  <si>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</si>
  <si>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</si>
  <si>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</si>
  <si>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</si>
  <si>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</si>
  <si>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</si>
  <si>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</si>
  <si>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</si>
  <si>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</si>
  <si>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</si>
  <si>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</si>
  <si>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</si>
  <si>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</si>
  <si>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</si>
  <si>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</si>
  <si>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</si>
  <si>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</si>
  <si>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</si>
  <si>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</si>
  <si>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</si>
  <si>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</si>
  <si>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</si>
  <si>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</si>
  <si>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</si>
  <si>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</si>
  <si>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</si>
  <si>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</si>
  <si>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</si>
  <si>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</si>
  <si>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</si>
  <si>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</si>
  <si>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</si>
  <si>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</si>
  <si>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</si>
  <si>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</si>
  <si>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</si>
  <si>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</si>
  <si>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</si>
  <si>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</si>
  <si>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</si>
  <si>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</si>
  <si>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</si>
  <si>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</si>
  <si>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</si>
  <si>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</si>
  <si>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</si>
  <si>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</si>
  <si>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</si>
  <si>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</si>
  <si>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</si>
  <si>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</si>
  <si>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</si>
  <si>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</si>
  <si>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</si>
  <si>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</si>
  <si>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</si>
  <si>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</si>
  <si>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</si>
  <si>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</si>
  <si>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</si>
  <si>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</si>
  <si>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</si>
  <si>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</si>
  <si>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</si>
  <si>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</si>
  <si>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</si>
  <si>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</si>
  <si>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</si>
  <si>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</si>
  <si>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</si>
  <si>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</si>
  <si>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</si>
  <si>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</si>
  <si>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</si>
  <si>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</si>
  <si>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</si>
  <si>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</si>
  <si>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</si>
  <si>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</si>
  <si>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</si>
  <si>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</si>
  <si>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</si>
  <si>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</si>
  <si>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</si>
  <si>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</si>
  <si>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</si>
  <si>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</si>
  <si>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</si>
  <si>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</si>
  <si>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</si>
  <si>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</si>
  <si>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</si>
  <si>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</si>
  <si>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</si>
  <si>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</si>
  <si>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</si>
  <si>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</si>
  <si>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</si>
  <si>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</si>
  <si>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</si>
  <si>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</si>
  <si>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</si>
  <si>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</si>
  <si>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</si>
  <si>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</si>
  <si>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</si>
  <si>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</si>
  <si>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</si>
  <si>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</si>
  <si>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</si>
  <si>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</si>
  <si>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</si>
  <si>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</si>
  <si>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</si>
  <si>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</si>
  <si>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</si>
  <si>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</si>
  <si>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</si>
  <si>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</si>
  <si>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</si>
  <si>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</si>
  <si>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</si>
  <si>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</si>
  <si>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</si>
  <si>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</si>
  <si>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</si>
  <si>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</si>
  <si>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</si>
  <si>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</si>
  <si>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</si>
  <si>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</si>
  <si>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</si>
  <si>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</si>
  <si>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</si>
  <si>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</si>
  <si>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</si>
  <si>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</si>
  <si>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</si>
  <si>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</si>
  <si>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</si>
  <si>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</si>
  <si>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</si>
  <si>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</si>
  <si>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</si>
  <si>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</si>
  <si>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</si>
  <si>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</si>
  <si>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</si>
  <si>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</si>
  <si>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</si>
  <si>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</si>
  <si>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</si>
  <si>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</si>
  <si>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</si>
  <si>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</si>
  <si>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</si>
  <si>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</si>
  <si>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</si>
  <si>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</si>
  <si>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</si>
  <si>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</si>
  <si>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</si>
  <si>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</si>
  <si>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</si>
  <si>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</si>
  <si>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</si>
  <si>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</si>
  <si>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</si>
  <si>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</si>
  <si>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</si>
  <si>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</si>
  <si>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</si>
  <si>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</si>
  <si>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</si>
  <si>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</si>
  <si>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</si>
  <si>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</si>
  <si>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</si>
  <si>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</si>
  <si>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</si>
  <si>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</si>
  <si>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</si>
  <si>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</si>
  <si>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</si>
  <si>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</si>
  <si>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</si>
  <si>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</si>
  <si>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</si>
  <si>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</si>
  <si>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</si>
  <si>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</si>
  <si>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</si>
  <si>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</si>
  <si>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</si>
  <si>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</si>
  <si>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</si>
  <si>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</si>
  <si>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</si>
  <si>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</si>
  <si>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</si>
  <si>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</si>
  <si>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</si>
  <si>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</si>
  <si>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</si>
  <si>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</si>
  <si>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</si>
  <si>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</si>
  <si>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</si>
  <si>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</si>
  <si>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</si>
  <si>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</si>
  <si>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</si>
  <si>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</si>
  <si>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</si>
  <si>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</si>
  <si>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</si>
  <si>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</si>
  <si>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</si>
  <si>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</si>
  <si>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</si>
  <si>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</si>
  <si>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</si>
  <si>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</si>
  <si>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</si>
  <si>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</si>
  <si>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</si>
  <si>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</si>
  <si>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</si>
  <si>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</si>
  <si>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</si>
  <si>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</si>
  <si>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</si>
  <si>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</si>
  <si>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</si>
  <si>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</si>
  <si>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</si>
  <si>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</si>
  <si>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</si>
  <si>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</si>
  <si>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</si>
  <si>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</si>
  <si>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</si>
  <si>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</si>
  <si>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</si>
  <si>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</si>
  <si>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</si>
  <si>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</si>
  <si>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</si>
  <si>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</si>
  <si>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</si>
  <si>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</si>
  <si>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</si>
  <si>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</si>
  <si>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</si>
  <si>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</si>
  <si>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</si>
  <si>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</si>
  <si>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</si>
  <si>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</si>
  <si>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</si>
  <si>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</si>
  <si>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</si>
  <si>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</si>
  <si>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</si>
  <si>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</si>
  <si>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</si>
  <si>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</si>
  <si>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</si>
  <si>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</si>
  <si>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</si>
  <si>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</si>
  <si>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</si>
  <si>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</si>
  <si>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</si>
  <si>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</si>
  <si>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</si>
  <si>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</si>
  <si>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</si>
  <si>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</si>
  <si>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</si>
  <si>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</si>
  <si>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</si>
  <si>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</si>
  <si>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</si>
  <si>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</si>
  <si>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</si>
  <si>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</si>
  <si>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</si>
  <si>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</si>
  <si>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</si>
  <si>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</si>
  <si>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</si>
  <si>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</si>
  <si>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</si>
  <si>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</si>
  <si>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</si>
  <si>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</si>
  <si>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</si>
  <si>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</si>
  <si>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</si>
  <si>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</si>
  <si>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</si>
  <si>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</si>
  <si>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</si>
  <si>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</si>
  <si>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</si>
  <si>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</si>
  <si>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</si>
  <si>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</si>
  <si>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</si>
  <si>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</si>
  <si>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</si>
  <si>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</si>
  <si>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</si>
  <si>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</si>
  <si>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</si>
  <si>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</si>
  <si>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</si>
  <si>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</si>
  <si>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</si>
  <si>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</si>
  <si>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</si>
  <si>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</si>
  <si>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</si>
  <si>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</si>
  <si>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</si>
  <si>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</si>
  <si>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</si>
  <si>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</si>
  <si>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</si>
  <si>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</si>
  <si>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</si>
  <si>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</si>
  <si>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</si>
  <si>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</si>
  <si>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</si>
  <si>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</si>
  <si>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</si>
  <si>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</si>
  <si>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</si>
  <si>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</si>
  <si>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</si>
  <si>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</si>
  <si>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</si>
  <si>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</si>
  <si>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</si>
  <si>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</si>
  <si>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</si>
  <si>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</si>
  <si>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</si>
  <si>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</si>
  <si>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</si>
  <si>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</si>
  <si>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</si>
  <si>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</si>
  <si>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</si>
  <si>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</si>
  <si>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</si>
  <si>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</si>
  <si>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</si>
  <si>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</si>
  <si>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</si>
  <si>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</si>
  <si>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</si>
  <si>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</si>
  <si>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</si>
  <si>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</si>
  <si>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</si>
  <si>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</si>
  <si>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</si>
  <si>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</si>
  <si>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</si>
  <si>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</si>
  <si>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</si>
  <si>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</si>
  <si>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</si>
  <si>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</si>
  <si>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</si>
  <si>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</si>
  <si>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</si>
  <si>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</si>
  <si>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</si>
  <si>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</si>
  <si>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</si>
  <si>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</si>
  <si>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</si>
  <si>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</si>
  <si>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</si>
  <si>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</si>
  <si>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</si>
  <si>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</si>
  <si>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</si>
  <si>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</si>
  <si>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</si>
  <si>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</si>
  <si>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</si>
  <si>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</si>
  <si>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</si>
  <si>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</si>
  <si>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</si>
  <si>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</si>
  <si>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</si>
  <si>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</si>
  <si>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</si>
  <si>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</si>
  <si>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</si>
  <si>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</si>
  <si>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</si>
  <si>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</si>
  <si>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</si>
  <si>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</si>
  <si>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</si>
  <si>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</si>
  <si>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</si>
  <si>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</si>
  <si>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</si>
  <si>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</si>
  <si>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</si>
  <si>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</si>
  <si>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</si>
  <si>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</si>
  <si>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</si>
  <si>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</si>
  <si>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</si>
  <si>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</si>
  <si>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</si>
  <si>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</si>
  <si>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</si>
  <si>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</si>
  <si>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</si>
  <si>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</si>
  <si>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</si>
  <si>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</si>
  <si>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</si>
  <si>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</si>
  <si>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</si>
  <si>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</si>
  <si>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</si>
  <si>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</si>
  <si>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</si>
  <si>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</si>
  <si>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</si>
  <si>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</si>
  <si>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</si>
  <si>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</si>
  <si>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</si>
  <si>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</si>
  <si>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</si>
  <si>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</si>
  <si>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</si>
  <si>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</si>
  <si>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</si>
  <si>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</si>
  <si>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</si>
  <si>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</si>
  <si>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</si>
  <si>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</si>
  <si>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</si>
  <si>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</si>
  <si>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</si>
  <si>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</si>
  <si>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</si>
  <si>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</si>
  <si>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</si>
  <si>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</si>
  <si>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</si>
  <si>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</si>
  <si>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</si>
  <si>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</si>
  <si>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</si>
  <si>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</si>
  <si>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</si>
  <si>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</si>
  <si>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</si>
  <si>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</si>
  <si>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</si>
  <si>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</si>
  <si>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</si>
  <si>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</si>
  <si>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</si>
  <si>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</si>
  <si>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</si>
  <si>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</si>
  <si>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</si>
  <si>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</si>
  <si>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</si>
  <si>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</si>
  <si>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</si>
  <si>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</si>
  <si>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</si>
  <si>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</si>
  <si>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</si>
  <si>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</si>
  <si>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</si>
  <si>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</si>
  <si>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</si>
  <si>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</si>
  <si>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</si>
  <si>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</si>
  <si>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</si>
  <si>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</si>
  <si>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</si>
  <si>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</si>
  <si>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</si>
  <si>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</si>
  <si>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</si>
  <si>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</si>
  <si>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</si>
  <si>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</si>
  <si>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</si>
  <si>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</si>
  <si>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</si>
  <si>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</si>
  <si>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</si>
  <si>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</si>
  <si>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</si>
  <si>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</si>
  <si>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</si>
  <si>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</si>
  <si>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</si>
  <si>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</si>
  <si>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</si>
  <si>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</si>
  <si>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</si>
  <si>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</si>
  <si>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</si>
  <si>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</si>
  <si>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</si>
  <si>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</si>
  <si>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</si>
  <si>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</si>
  <si>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</si>
  <si>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</si>
  <si>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</si>
  <si>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</si>
  <si>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</si>
  <si>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</si>
  <si>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</si>
  <si>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</si>
  <si>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</si>
  <si>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</si>
  <si>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</si>
  <si>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</si>
  <si>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</si>
  <si>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</si>
  <si>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</si>
  <si>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</si>
  <si>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</si>
  <si>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</si>
  <si>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</si>
  <si>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</si>
  <si>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</si>
  <si>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</si>
  <si>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</si>
  <si>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</si>
  <si>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</si>
  <si>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</si>
  <si>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</si>
  <si>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</si>
  <si>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</si>
  <si>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</si>
  <si>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</si>
  <si>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</si>
  <si>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</si>
  <si>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</si>
  <si>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</si>
  <si>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</si>
  <si>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</si>
  <si>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</si>
  <si>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</si>
  <si>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</si>
  <si>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</si>
  <si>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</si>
  <si>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</si>
  <si>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</si>
  <si>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</si>
  <si>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</si>
  <si>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</si>
  <si>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</si>
  <si>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</si>
  <si>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</si>
  <si>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</si>
  <si>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</si>
  <si>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</si>
  <si>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</si>
  <si>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</si>
  <si>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</si>
  <si>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</si>
  <si>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</si>
  <si>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</si>
  <si>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</si>
  <si>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</si>
  <si>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</si>
  <si>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</si>
  <si>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</si>
  <si>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</si>
  <si>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</si>
  <si>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</si>
  <si>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</si>
  <si>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</si>
  <si>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</si>
  <si>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</si>
  <si>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</si>
  <si>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</si>
  <si>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</si>
  <si>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</si>
  <si>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</si>
  <si>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</si>
  <si>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</si>
  <si>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</si>
  <si>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</si>
  <si>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</si>
  <si>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</si>
  <si>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</si>
  <si>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</si>
  <si>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</si>
  <si>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</si>
  <si>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</si>
  <si>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</si>
  <si>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</si>
  <si>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</si>
  <si>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</si>
  <si>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</si>
  <si>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</si>
  <si>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</si>
  <si>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</si>
  <si>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</si>
  <si>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</si>
  <si>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</si>
  <si>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</si>
  <si>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</si>
  <si>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</si>
  <si>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</si>
  <si>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</si>
  <si>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</si>
  <si>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</si>
  <si>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</si>
  <si>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</si>
  <si>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</si>
  <si>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</si>
  <si>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</si>
  <si>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</si>
  <si>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</si>
  <si>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</si>
  <si>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</si>
  <si>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</si>
  <si>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</si>
  <si>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</si>
  <si>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</si>
  <si>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</si>
  <si>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</si>
  <si>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</si>
  <si>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</si>
  <si>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</si>
  <si>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</si>
  <si>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</si>
  <si>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</si>
  <si>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</si>
  <si>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</si>
  <si>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</si>
  <si>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</si>
  <si>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</si>
  <si>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</si>
  <si>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</si>
  <si>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</si>
  <si>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</si>
  <si>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</si>
  <si>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</si>
  <si>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</si>
  <si>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</si>
  <si>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</si>
  <si>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</si>
  <si>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</si>
  <si>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</si>
  <si>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</si>
  <si>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</si>
  <si>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</si>
  <si>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</si>
  <si>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</si>
  <si>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</si>
  <si>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</si>
  <si>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</si>
  <si>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</si>
  <si>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</si>
  <si>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</si>
  <si>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</si>
  <si>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</si>
  <si>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</si>
  <si>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</si>
  <si>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</si>
  <si>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</si>
  <si>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</si>
  <si>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</si>
  <si>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</si>
  <si>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</si>
  <si>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</si>
  <si>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</si>
  <si>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</si>
  <si>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</si>
  <si>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</si>
  <si>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</si>
  <si>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</si>
  <si>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</si>
  <si>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</si>
  <si>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</si>
  <si>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</si>
  <si>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</si>
  <si>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</si>
  <si>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</si>
  <si>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</si>
  <si>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</si>
  <si>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</si>
  <si>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</si>
  <si>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</si>
  <si>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</si>
  <si>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</si>
  <si>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</si>
  <si>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</si>
  <si>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</si>
  <si>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</si>
  <si>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</si>
  <si>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</si>
  <si>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</si>
  <si>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</si>
  <si>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</si>
  <si>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</si>
  <si>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</si>
  <si>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</si>
  <si>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</si>
  <si>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</si>
  <si>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</si>
  <si>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</si>
  <si>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</si>
  <si>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</si>
  <si>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</si>
  <si>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</si>
  <si>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</si>
  <si>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</si>
  <si>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</si>
  <si>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</si>
  <si>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</si>
  <si>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</si>
  <si>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</si>
  <si>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</si>
  <si>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</si>
  <si>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</si>
  <si>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</si>
  <si>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</si>
  <si>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</si>
  <si>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</si>
  <si>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</si>
  <si>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</si>
  <si>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</si>
  <si>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</si>
  <si>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</si>
  <si>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</si>
  <si>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</si>
  <si>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</si>
  <si>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</si>
  <si>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</si>
  <si>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</si>
  <si>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</si>
  <si>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</si>
  <si>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</si>
  <si>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</si>
  <si>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</si>
  <si>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</si>
  <si>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</si>
  <si>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</si>
  <si>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</si>
  <si>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</si>
  <si>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</si>
  <si>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</si>
  <si>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</si>
  <si>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</si>
  <si>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</si>
  <si>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</si>
  <si>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</si>
  <si>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</si>
  <si>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</si>
  <si>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</si>
  <si>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</si>
  <si>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</si>
  <si>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</si>
  <si>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</si>
  <si>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</si>
  <si>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</si>
  <si>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</si>
  <si>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</si>
  <si>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</si>
  <si>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</si>
  <si>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</si>
  <si>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</si>
  <si>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</si>
  <si>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</si>
  <si>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</si>
  <si>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</si>
  <si>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</si>
  <si>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</si>
  <si>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</si>
  <si>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</si>
  <si>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</si>
  <si>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</si>
  <si>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</si>
  <si>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</si>
  <si>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</si>
  <si>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</si>
  <si>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</si>
  <si>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</si>
  <si>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</si>
  <si>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</si>
  <si>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</si>
  <si>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</si>
  <si>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</si>
  <si>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5QA.803.105</t>
  </si>
  <si>
    <t>5QA.803.107</t>
  </si>
  <si>
    <t>X</t>
  </si>
  <si>
    <t>ST1500</t>
  </si>
  <si>
    <t>5qa802035b_037_amps0002_L</t>
  </si>
  <si>
    <t>KJLTVL411500R01</t>
  </si>
  <si>
    <t>66-59D363970</t>
  </si>
  <si>
    <t>5Q0.804.131</t>
  </si>
  <si>
    <t>5qa802035b_037_amps0003_L</t>
  </si>
  <si>
    <t>5qa802035b_037_amps0004_L</t>
  </si>
  <si>
    <t>5qa802035b_037_amps0005_L</t>
  </si>
  <si>
    <t>5qa802035b_037_amps0006_L</t>
  </si>
  <si>
    <t>5qa802035b_037_amps0007_L</t>
  </si>
  <si>
    <t>5qa802035b_037_amps0008_L</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</si>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</sst>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4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1500</a:t>
          </a:r>
          <a:endParaRPr lang="pt-BR" sz="2800">
            <a:effectLst/>
          </a:endParaRPr>
        </a:p>
      </xdr:txBody>
    </xdr:sp>
    <xdr:clientData/>
  </xdr:twoCellAnchor>
  <xdr:twoCellAnchor>
    <xdr:from>
      <xdr:col>1</xdr:col>
      <xdr:colOff>15875</xdr:colOff>
      <xdr:row>41</xdr:row>
      <xdr:rowOff>130175</xdr:rowOff>
    </xdr:from>
    <xdr:to>
      <xdr:col>9</xdr:col>
      <xdr:colOff>342900</xdr:colOff>
      <xdr:row>52</xdr:row>
      <xdr:rowOff>19340</xdr:rowOff>
    </xdr:to>
    <xdr:sp macro="" textlink="">
      <xdr:nvSpPr>
        <xdr:cNvPr id="15" name="Rechteck 28">
          <a:extLst>
            <a:ext uri="{FF2B5EF4-FFF2-40B4-BE49-F238E27FC236}">
              <a16:creationId xmlns:a16="http://schemas.microsoft.com/office/drawing/2014/main" xmlns="" id="{00000000-0008-0000-0100-00000F000000}"/>
            </a:ext>
          </a:extLst>
        </xdr:cNvPr>
        <xdr:cNvSpPr/>
      </xdr:nvSpPr>
      <xdr:spPr bwMode="auto">
        <a:xfrm>
          <a:off x="381000" y="9242425"/>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46</xdr:row>
      <xdr:rowOff>0</xdr:rowOff>
    </xdr:from>
    <xdr:to>
      <xdr:col>24</xdr:col>
      <xdr:colOff>272468</xdr:colOff>
      <xdr:row>47</xdr:row>
      <xdr:rowOff>55847</xdr:rowOff>
    </xdr:to>
    <xdr:sp macro="" textlink="">
      <xdr:nvSpPr>
        <xdr:cNvPr id="16" name="Text Box 147">
          <a:extLst>
            <a:ext uri="{FF2B5EF4-FFF2-40B4-BE49-F238E27FC236}">
              <a16:creationId xmlns:a16="http://schemas.microsoft.com/office/drawing/2014/main" xmlns="" id="{00000000-0008-0000-0100-000010000000}"/>
            </a:ext>
          </a:extLst>
        </xdr:cNvPr>
        <xdr:cNvSpPr txBox="1">
          <a:spLocks noChangeArrowheads="1"/>
        </xdr:cNvSpPr>
      </xdr:nvSpPr>
      <xdr:spPr bwMode="auto">
        <a:xfrm>
          <a:off x="6942696" y="10223500"/>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7x GEO 1500R01</a:t>
          </a:r>
        </a:p>
      </xdr:txBody>
    </xdr:sp>
    <xdr:clientData/>
  </xdr:twoCellAnchor>
  <xdr:twoCellAnchor>
    <xdr:from>
      <xdr:col>13</xdr:col>
      <xdr:colOff>24493</xdr:colOff>
      <xdr:row>46</xdr:row>
      <xdr:rowOff>76200</xdr:rowOff>
    </xdr:from>
    <xdr:to>
      <xdr:col>13</xdr:col>
      <xdr:colOff>189594</xdr:colOff>
      <xdr:row>47</xdr:row>
      <xdr:rowOff>15629</xdr:rowOff>
    </xdr:to>
    <xdr:sp macro="" textlink="">
      <xdr:nvSpPr>
        <xdr:cNvPr id="17" name="Oval 96">
          <a:extLst>
            <a:ext uri="{FF2B5EF4-FFF2-40B4-BE49-F238E27FC236}">
              <a16:creationId xmlns:a16="http://schemas.microsoft.com/office/drawing/2014/main" xmlns="" id="{00000000-0008-0000-0100-000011000000}"/>
            </a:ext>
          </a:extLst>
        </xdr:cNvPr>
        <xdr:cNvSpPr/>
      </xdr:nvSpPr>
      <xdr:spPr>
        <a:xfrm rot="10800000" flipH="1" flipV="1">
          <a:off x="6723743" y="102997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206375</xdr:rowOff>
    </xdr:from>
    <xdr:to>
      <xdr:col>8</xdr:col>
      <xdr:colOff>1091005</xdr:colOff>
      <xdr:row>51</xdr:row>
      <xdr:rowOff>130463</xdr:rowOff>
    </xdr:to>
    <xdr:sp macro="" textlink="">
      <xdr:nvSpPr>
        <xdr:cNvPr id="18" name="Textfeld 38">
          <a:extLst>
            <a:ext uri="{FF2B5EF4-FFF2-40B4-BE49-F238E27FC236}">
              <a16:creationId xmlns:a16="http://schemas.microsoft.com/office/drawing/2014/main" xmlns="" id="{00000000-0008-0000-0100-000012000000}"/>
            </a:ext>
          </a:extLst>
        </xdr:cNvPr>
        <xdr:cNvSpPr txBox="1"/>
      </xdr:nvSpPr>
      <xdr:spPr>
        <a:xfrm>
          <a:off x="945243" y="11096625"/>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363970/176</a:t>
          </a:r>
          <a:endParaRPr lang="pt-BR" sz="1800">
            <a:effectLst/>
          </a:endParaRPr>
        </a:p>
      </xdr:txBody>
    </xdr:sp>
    <xdr:clientData/>
  </xdr:twoCellAnchor>
  <xdr:twoCellAnchor>
    <xdr:from>
      <xdr:col>3</xdr:col>
      <xdr:colOff>135617</xdr:colOff>
      <xdr:row>50</xdr:row>
      <xdr:rowOff>79375</xdr:rowOff>
    </xdr:from>
    <xdr:to>
      <xdr:col>3</xdr:col>
      <xdr:colOff>300718</xdr:colOff>
      <xdr:row>51</xdr:row>
      <xdr:rowOff>34679</xdr:rowOff>
    </xdr:to>
    <xdr:sp macro="" textlink="">
      <xdr:nvSpPr>
        <xdr:cNvPr id="19" name="Oval 96">
          <a:extLst>
            <a:ext uri="{FF2B5EF4-FFF2-40B4-BE49-F238E27FC236}">
              <a16:creationId xmlns:a16="http://schemas.microsoft.com/office/drawing/2014/main" xmlns="" id="{00000000-0008-0000-0100-000013000000}"/>
            </a:ext>
          </a:extLst>
        </xdr:cNvPr>
        <xdr:cNvSpPr/>
      </xdr:nvSpPr>
      <xdr:spPr>
        <a:xfrm rot="10800000" flipH="1" flipV="1">
          <a:off x="1056367" y="1119187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9</xdr:col>
      <xdr:colOff>119743</xdr:colOff>
      <xdr:row>11</xdr:row>
      <xdr:rowOff>95250</xdr:rowOff>
    </xdr:from>
    <xdr:to>
      <xdr:col>32</xdr:col>
      <xdr:colOff>691243</xdr:colOff>
      <xdr:row>36</xdr:row>
      <xdr:rowOff>156883</xdr:rowOff>
    </xdr:to>
    <xdr:pic>
      <xdr:nvPicPr>
        <xdr:cNvPr id="20" name="Imagem 19">
          <a:extLst>
            <a:ext uri="{FF2B5EF4-FFF2-40B4-BE49-F238E27FC236}">
              <a16:creationId xmlns:a16="http://schemas.microsoft.com/office/drawing/2014/main" xmlns="" id="{00000000-0008-0000-0100-000014000000}"/>
            </a:ext>
          </a:extLst>
        </xdr:cNvPr>
        <xdr:cNvPicPr>
          <a:picLocks noChangeAspect="1"/>
        </xdr:cNvPicPr>
      </xdr:nvPicPr>
      <xdr:blipFill>
        <a:blip xmlns:r="http://schemas.openxmlformats.org/officeDocument/2006/relationships" r:embed="rId2"/>
        <a:stretch>
          <a:fillRect/>
        </a:stretch>
      </xdr:blipFill>
      <xdr:spPr>
        <a:xfrm>
          <a:off x="4120243" y="2540000"/>
          <a:ext cx="11938000" cy="5617883"/>
        </a:xfrm>
        <a:prstGeom prst="rect">
          <a:avLst/>
        </a:prstGeom>
      </xdr:spPr>
    </xdr:pic>
    <xdr:clientData/>
  </xdr:twoCellAnchor>
  <xdr:twoCellAnchor editAs="oneCell">
    <xdr:from>
      <xdr:col>3</xdr:col>
      <xdr:colOff>8617</xdr:colOff>
      <xdr:row>42</xdr:row>
      <xdr:rowOff>15875</xdr:rowOff>
    </xdr:from>
    <xdr:to>
      <xdr:col>8</xdr:col>
      <xdr:colOff>1119867</xdr:colOff>
      <xdr:row>49</xdr:row>
      <xdr:rowOff>168945</xdr:rowOff>
    </xdr:to>
    <xdr:pic>
      <xdr:nvPicPr>
        <xdr:cNvPr id="21" name="Imagem 20">
          <a:extLst>
            <a:ext uri="{FF2B5EF4-FFF2-40B4-BE49-F238E27FC236}">
              <a16:creationId xmlns:a16="http://schemas.microsoft.com/office/drawing/2014/main" xmlns="" id="{00000000-0008-0000-0100-000015000000}"/>
            </a:ext>
          </a:extLst>
        </xdr:cNvPr>
        <xdr:cNvPicPr>
          <a:picLocks noChangeAspect="1"/>
        </xdr:cNvPicPr>
      </xdr:nvPicPr>
      <xdr:blipFill>
        <a:blip xmlns:r="http://schemas.openxmlformats.org/officeDocument/2006/relationships" r:embed="rId3"/>
        <a:stretch>
          <a:fillRect/>
        </a:stretch>
      </xdr:blipFill>
      <xdr:spPr>
        <a:xfrm flipH="1">
          <a:off x="929367" y="9350375"/>
          <a:ext cx="2936875" cy="17088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34" zoomScale="80" zoomScaleNormal="80" zoomScaleSheetLayoutView="85" workbookViewId="0">
      <selection activeCell="O59" sqref="O59:S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1500</v>
      </c>
      <c r="P55" s="610"/>
      <c r="Q55" s="610"/>
      <c r="R55" s="610"/>
      <c r="S55" s="611"/>
      <c r="T55" s="615" t="s">
        <v>13</v>
      </c>
      <c r="U55" s="525" t="s">
        <v>2</v>
      </c>
      <c r="V55" s="525"/>
      <c r="W55" s="44"/>
      <c r="X55" s="553" t="s">
        <v>1924</v>
      </c>
      <c r="Y55" s="554"/>
      <c r="Z55" s="608" t="s">
        <v>3</v>
      </c>
      <c r="AA55" s="608"/>
      <c r="AB55" s="526">
        <v>2</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1931</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1927</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44"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topLeftCell="A4" zoomScale="60" zoomScaleNormal="60" zoomScaleSheetLayoutView="50" workbookViewId="0">
      <selection activeCell="Q38" sqref="Q38"/>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1500</v>
      </c>
      <c r="P55" s="653"/>
      <c r="Q55" s="653"/>
      <c r="R55" s="653"/>
      <c r="S55" s="653"/>
      <c r="T55" s="615" t="s">
        <v>13</v>
      </c>
      <c r="U55" s="652" t="s">
        <v>2</v>
      </c>
      <c r="V55" s="652"/>
      <c r="W55" s="174"/>
      <c r="X55" s="654" t="str">
        <f>'Blatt 0'!X55:Y56</f>
        <v>GME</v>
      </c>
      <c r="Y55" s="654"/>
      <c r="Z55" s="655" t="s">
        <v>3</v>
      </c>
      <c r="AA55" s="655"/>
      <c r="AB55" s="654">
        <f>'Blatt 0'!AB55:AB56</f>
        <v>2</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ST1500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E4" zoomScale="85" zoomScaleNormal="85" zoomScaleSheetLayoutView="40" zoomScalePageLayoutView="10" workbookViewId="0">
      <selection activeCell="E6" sqref="E6:E8"/>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Bodyshop</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 xml:space="preserve">  </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Spot Welding</v>
      </c>
      <c r="D4" s="990"/>
      <c r="E4" s="990"/>
      <c r="F4" s="990"/>
      <c r="G4" s="990"/>
      <c r="H4" s="990"/>
      <c r="I4" s="990"/>
      <c r="J4" s="990"/>
      <c r="K4" s="990"/>
      <c r="L4" s="991"/>
      <c r="M4" s="708" t="str">
        <f>IF($E$6="DE","Zeichnungsstand:","Dwg release:")</f>
        <v>Dwg release:</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Electrode Cap</v>
      </c>
      <c r="AI4" s="839"/>
      <c r="AJ4" s="840"/>
      <c r="AK4" s="1071" t="str">
        <f>X46</f>
        <v>39D 1978-2</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1176</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1942</v>
      </c>
      <c r="U6" s="725"/>
      <c r="V6" s="725"/>
      <c r="W6" s="725"/>
      <c r="X6" s="725"/>
      <c r="Y6" s="725"/>
      <c r="Z6" s="725"/>
      <c r="AA6" s="725"/>
      <c r="AB6" s="725"/>
      <c r="AC6" s="725"/>
      <c r="AD6" s="725"/>
      <c r="AE6" s="725"/>
      <c r="AF6" s="725"/>
      <c r="AG6" s="726"/>
      <c r="AH6" s="1059" t="str">
        <f>IF($E$6="DE","Sonderelektrode (manuelle Auswahl)","Special Electrode Cap (manual selection)")</f>
        <v>Special Electrode Cap (manual selection)</v>
      </c>
      <c r="AI6" s="1060"/>
      <c r="AJ6" s="1061"/>
      <c r="AK6" s="1034" t="str">
        <f>IF($E$6="DE","Sonderfräsmesser (manuelle Auswahl)","Special Tip-Dresser (manual selection)")</f>
        <v>Special Tip-Dresser (manual selection)</v>
      </c>
      <c r="AL6" s="1035"/>
      <c r="AM6" s="1035"/>
      <c r="AN6" s="1035"/>
      <c r="AO6" s="688" t="str">
        <f>IF(OR(COUNTBLANK(AH8:AN8)&lt;7,BF44&gt;0),IF(E6="DE","Sonderfräsmesser / -elektroden genehmigt durch:", "Special Tip-Dresser / Electrodes approved by:"),"")</f>
        <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Twin-Spot-Gun (J=Yes/N=No)</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
      </c>
      <c r="AP8" s="675"/>
      <c r="AQ8" s="676"/>
      <c r="AR8" s="677"/>
      <c r="AS8" s="677"/>
      <c r="AT8" s="677"/>
      <c r="AU8" s="677"/>
      <c r="AV8" s="675" t="str">
        <f>IF(OR(COUNTBLANK(AH8:AN8)&lt;7,BF44&gt;0),IF(E6="DE","Datum","Date"),"")</f>
        <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Welding-Spot Number (Index)</v>
      </c>
      <c r="D9" s="995" t="str">
        <f>IF($E$6="DE","Punkt- Name                                                   (FE - Bezeichnung)","Welding-Spot Number                                              (FE - designition)")</f>
        <v>Welding-Spot Number                                              (FE - designition)</v>
      </c>
      <c r="E9" s="998" t="str">
        <f>IF($E$6="DE","Schweißkoffer","Welding case-No.")</f>
        <v>Welding case-No.</v>
      </c>
      <c r="F9" s="998" t="str">
        <f>IF($E$6="DE","Schweißen durch Rob. IR .. /                                Werker WA ..","Welding with Rob. IR ... /                    Worker WR No …")</f>
        <v>Welding with Rob. IR ... /                    Worker WR No …</v>
      </c>
      <c r="G9" s="998" t="str">
        <f>IF($E$6="DE","Schweißzangen-Typ","Weldgun - Type")</f>
        <v>Weldgun - Type</v>
      </c>
      <c r="H9" s="1001" t="str">
        <f>IF($E$6="DE","Schweißzangen-Nr.","Weldgun drawing No.")</f>
        <v>Weldgun drawing No.</v>
      </c>
      <c r="I9" s="1004" t="str">
        <f>IF($E$6="DE","Trafo","Weld-Transformer")</f>
        <v>Weld-Transformer</v>
      </c>
      <c r="J9" s="1007" t="str">
        <f>IF($E$6="DE","Netzlinien","Car Netline")</f>
        <v>Car Netline</v>
      </c>
      <c r="K9" s="1008"/>
      <c r="L9" s="1009"/>
      <c r="M9" s="1007" t="str">
        <f>IF($E$6="DE","Blechpaarung","Sheet metal stack")</f>
        <v>Sheet metal stack</v>
      </c>
      <c r="N9" s="1008"/>
      <c r="O9" s="1010"/>
      <c r="P9" s="986" t="str">
        <f>IF($E$6="DE","Blechdicke / Werkstoff","Sheet Thickness / Material")</f>
        <v>Sheet Thickness / Material</v>
      </c>
      <c r="Q9" s="987"/>
      <c r="R9" s="987"/>
      <c r="S9" s="987"/>
      <c r="T9" s="987"/>
      <c r="U9" s="987"/>
      <c r="V9" s="987"/>
      <c r="W9" s="987"/>
      <c r="X9" s="988"/>
      <c r="Y9" s="450"/>
      <c r="Z9" s="734" t="str">
        <f>IF($E$6="DE","Zwischenrechnung","theoretical Values")</f>
        <v>theoretical Values</v>
      </c>
      <c r="AA9" s="735"/>
      <c r="AB9" s="736"/>
      <c r="AC9" s="862" t="str">
        <f>IF($E$6="DE","Schweißparameter","Welding Parameters")</f>
        <v>Welding Parameters</v>
      </c>
      <c r="AD9" s="862"/>
      <c r="AE9" s="863"/>
      <c r="AF9" s="697" t="str">
        <f>IF($E$6="DE","Anforderung","Requirement")</f>
        <v>Requirement</v>
      </c>
      <c r="AG9" s="698"/>
      <c r="AH9" s="1031" t="str">
        <f>IF($E$6="DE","benötigte Elektrodenkappen für Schweißpunkt","required Electrode Caps for Spot")</f>
        <v>required Electrode Caps for Spot</v>
      </c>
      <c r="AI9" s="1032"/>
      <c r="AJ9" s="1032"/>
      <c r="AK9" s="1057"/>
      <c r="AL9" s="1058"/>
      <c r="AM9" s="1065" t="str">
        <f>IF($E$6="DE","Bemerkung","Comments")</f>
        <v>Comments</v>
      </c>
      <c r="AN9" s="1066"/>
      <c r="AO9" s="1031" t="str">
        <f>IF($E$6="DE","Schweißpunkte gültig für folgende Typen:","Welding Spots valid for the following Types")</f>
        <v>Welding Spots valid for the following Types</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1</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Part drawing no</v>
      </c>
      <c r="N10" s="1021"/>
      <c r="O10" s="1021"/>
      <c r="P10" s="962" t="s">
        <v>57</v>
      </c>
      <c r="Q10" s="747" t="str">
        <f>IF($E$6="DE","Werkstoff 1","Material 1")</f>
        <v>Material 1</v>
      </c>
      <c r="R10" s="739" t="str">
        <f>IF($E$6="DE","Streckgrenze Re 1","Yield strength Re 1")</f>
        <v>Yield strength Re 1</v>
      </c>
      <c r="S10" s="737" t="s">
        <v>58</v>
      </c>
      <c r="T10" s="747" t="str">
        <f>IF($E$6="DE","Werkstoff 2","Material 2")</f>
        <v>Material 2</v>
      </c>
      <c r="U10" s="739" t="str">
        <f>IF($E$6="DE","Streckgrenze Re 2","Yield strength Re 2")</f>
        <v>Yield strength Re 2</v>
      </c>
      <c r="V10" s="737" t="s">
        <v>59</v>
      </c>
      <c r="W10" s="747" t="str">
        <f>IF($E$6="DE","Werkstoff 3","Material 3")</f>
        <v>Material 3</v>
      </c>
      <c r="X10" s="739" t="str">
        <f>IF($E$6="DE","Streckgrenze Re 3","Yield strength Re 3")</f>
        <v>Yield strength Re 3</v>
      </c>
      <c r="Y10" s="766" t="str">
        <f>IF($E$6="DE","Klebstoff (J/N)","Adhesive (J=Yes /N=No)")</f>
        <v>Adhesive (J=Yes /N=No)</v>
      </c>
      <c r="Z10" s="741" t="str">
        <f>IF($E$6="DE","Vergleichsblechdicke tv","Ref. Thickness tv")</f>
        <v>Ref. Thickness tv</v>
      </c>
      <c r="AA10" s="763" t="str">
        <f>IF($E$6="DE","Zuschlag Streckgrenze ","Yield strength surcharge")</f>
        <v>Yield strength surcharge</v>
      </c>
      <c r="AB10" s="722" t="str">
        <f>IF($E$6="DE","Schweißkraft inkl. Klebstoff (Zangenauslegung)","Welding Force incl. Adhesive (Gun Calculation)")</f>
        <v>Welding Force incl. Adhesive (Gun Calculation)</v>
      </c>
      <c r="AC10" s="731" t="str">
        <f>IF($E$6="DE","Schweißstrom","Welding Current")</f>
        <v>Welding Current</v>
      </c>
      <c r="AD10" s="744" t="str">
        <f>IF($E$6="DE","Schweißzeit","Welding Time")</f>
        <v>Welding Time</v>
      </c>
      <c r="AE10" s="722" t="str">
        <f>IF($E$6="DE","Schweißkraft incl. Klebstoff u.  bei VW50066/TL4225- Material außen","Welding Force incl. adhesive and VW50066/TL4225-Material outside")</f>
        <v>Welding Force incl. adhesive and VW50066/TL4225-Material outside</v>
      </c>
      <c r="AF10" s="1049" t="str">
        <f>IF($E$6="DE","Linsendurchmesser dn min (Blech 1 - Blech 2)","Nuggetdiameter dn min (Sheet 1 - Sheet 2)")</f>
        <v>Nuggetdiameter dn min (Sheet 1 - Sheet 2)</v>
      </c>
      <c r="AG10" s="722" t="str">
        <f>IF($E$6="DE","Linsendurchmesser dn min (Blech 2 - Blech 3)","Nuggetdiameter dn min (Sheet 2 - Sheet 3)")</f>
        <v>Nuggetdiameter dn min (Sheet 2 - Sheet 3)</v>
      </c>
      <c r="AH10" s="1049" t="str">
        <f>IF($E$6="DE","Elektroden-kappen","Electrode Cap")</f>
        <v>Electrode Cap</v>
      </c>
      <c r="AI10" s="744" t="str">
        <f>IF($E$6="DE"," Arbeitsflächendurchm. für Elektrode an Blech 1 (AF1)","Electrode Tip Diameter                       on Sheet 1 (AF1)")</f>
        <v>Electrode Tip Diameter                       on Sheet 1 (AF1)</v>
      </c>
      <c r="AJ10" s="744" t="str">
        <f>IF($E$6="DE","Arbeitsflächenradius für Elektrode an Blech 1 (R1)","Electrode Tip Radius                    on Sheet 1 (R1)")</f>
        <v>Electrode Tip Radius                    on Sheet 1 (R1)</v>
      </c>
      <c r="AK10" s="719" t="str">
        <f>IF($E$6="DE","Arbeitsflächendurchm. für Elektrode an Blech 2/3 (AF2/3)","Electrode Tip Diameter                      on Sheet 2/3 (AF2/3)")</f>
        <v>Electrode Tip Diameter                      on Sheet 2/3 (AF2/3)</v>
      </c>
      <c r="AL10" s="794" t="str">
        <f>IF($E$6="DE","Arbeitsflächenradius für Elektrode an Blech 2/3 (R2/3)","Electrode Tip Radius                   on Sheet 2 (R2/3)")</f>
        <v>Electrode Tip Radius                   on Sheet 2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7.1011699999999998</v>
      </c>
      <c r="D19" s="308" t="s">
        <v>1932</v>
      </c>
      <c r="E19" s="309" t="s">
        <v>1188</v>
      </c>
      <c r="F19" s="310" t="s">
        <v>1933</v>
      </c>
      <c r="G19" s="336" t="s">
        <v>1930</v>
      </c>
      <c r="H19" s="311" t="s">
        <v>1934</v>
      </c>
      <c r="I19" s="478" t="s">
        <v>1188</v>
      </c>
      <c r="J19" s="312">
        <v>40.18</v>
      </c>
      <c r="K19" s="313">
        <v>-469.39</v>
      </c>
      <c r="L19" s="314">
        <v>81.38</v>
      </c>
      <c r="M19" s="315" t="s">
        <v>1935</v>
      </c>
      <c r="N19" s="316" t="s">
        <v>1928</v>
      </c>
      <c r="O19" s="317" t="s">
        <v>1929</v>
      </c>
      <c r="P19" s="502">
        <v>3</v>
      </c>
      <c r="Q19" s="320" t="s">
        <v>600</v>
      </c>
      <c r="R19" s="318">
        <f>IF(AND(ISBLANK(P19),ISTEXT(Q19)),"t1?",IF(AND(ISBLANK(Q19),ISBLANK(P19)),"",VLOOKUP(BH19,Materialliste!$A$2:$B$1615,2,FALSE)))</f>
        <v>350</v>
      </c>
      <c r="S19" s="319">
        <v>2.1</v>
      </c>
      <c r="T19" s="320" t="s">
        <v>1001</v>
      </c>
      <c r="U19" s="318">
        <f>IF(AND(ISBLANK(S19),ISTEXT(T19)),"t2?",IF(AND(ISBLANK(T19),ISBLANK(S19)),"",VLOOKUP(BI19,Materialliste!$A$2:$B$1615,2,FALSE)))</f>
        <v>550</v>
      </c>
      <c r="V19" s="319">
        <v>1.7</v>
      </c>
      <c r="W19" s="320" t="s">
        <v>1004</v>
      </c>
      <c r="X19" s="321">
        <f>IF(AND(ISBLANK(V19),ISTEXT(W19)),"t3?",IF(AND(ISBLANK(W19),ISBLANK(V19)),"",VLOOKUP(BJ19,Materialliste!$A$2:$B$1615,2,FALSE)))</f>
        <v>550</v>
      </c>
      <c r="Y19" s="442" t="s">
        <v>1925</v>
      </c>
      <c r="Z19" s="453">
        <f t="shared" ref="Z19:Z43" si="0">IF($E$6="DE",IF(P19*S19&gt;0,0.8*BN19+0.2*BM19,"BLECH?"),IF(P19*S19&gt;0,0.8*BN19+0.2*BM19,"Sheet?"))</f>
        <v>2.2800000000000002</v>
      </c>
      <c r="AA19" s="446">
        <f>IF(AND(ISNUMBER(R19),ISNUMBER(U19)),IF(ISTEXT(X19),(R19+U19)/(220*3*10)+0.9,(R19+U19+X19)/(220*3*10)+0.9),"?Re")</f>
        <v>1.1196969696969696</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4.8025696969696972</v>
      </c>
      <c r="AC19" s="322">
        <f>IF(AND(BT19="J",OR(G19="C",G19="X")),39,IF(AND(BT19="N",OR(G19="C",G19="X")),IF(Z19="BLECH?","",IF(AND(BX19=TRUE,BZ19=TRUE),IF(Z19&lt;=2,((1.13*Z19+7.1+BY19)+(1.13*Z19+7.1+CA19))/2*BW19,((1.5*Z19+5.8+BY19)+(1.5*Z19+5.8+CA19))/2*BW19),IF(Z19&lt;=2,(1.13*Z19+7.1+BY19+CA19)*BW19,(1.5*Z19+5.8+BY19+CA19)*BW19))),IF(OR(G19="B",G19="S"),6,IF(G19="R",7,IF(AND(G19="M",BT19="N"),4.3,IF(AND(G19="M",BT19="J"),"21",""))))))</f>
        <v>9.2200000000000006</v>
      </c>
      <c r="AD19" s="323">
        <f t="shared" ref="AD19:AD25" si="1">IF(OR(ISBLANK(G19),Z19="BLECH?"),"",IF(AND(BT19="J",G19="C"),60,IF(G19="B",60,IF(G19="R",150,IF(G19="S",90,IF(AND(G19="m",BT19="n"),350,IF(AND(G19="m",BT19="j"),50,MAX(MIN((((P19+S19+V19-1.4)*(600/4.6))+200)+BU19,900),200))))))))</f>
        <v>900</v>
      </c>
      <c r="AE19" s="324">
        <f>IF(AND(BT19="J",OR(G19="C",G19="X")),AB19*1,IF(OR(G19="C",G19="X"),AB19*BV19,IF(ISBLANK(G19),AB19,AB19*1)))</f>
        <v>4.8025696969696972</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5.0719818611663037</v>
      </c>
      <c r="AG19" s="481">
        <f>IF(V19&gt;0,(IF(G19="S",(IF($E$6="DE","siehe. Zeichn.", "as per drawing")),IF(OR(AND(G19="M",BT19="N"),G19="B"),1.6,IF(AND(G19="M",BT19="J"),2.5,IF(AND(G19="C",BT19="J",Y19="N",OR(S19&gt;=1.5,V19&gt;=1.5)),5*SQRT(MIN(S19,V19)),IF(AND(G19="C",BT19="J",Y19="N",S19&lt;1.5,V19&lt;1.5),4*SQRT(MIN(S19,V19)),IF(AND(G19="C",BT19="J",Y19="J",V19&gt;0),(IF($E$6="DE","siehe. Zeichn.", "as per drawing")),3.5*SQRT(MIN(S19,V19))))))))),"")</f>
        <v>4.5634416836418543</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CR270LA-EG12/12</v>
      </c>
      <c r="BI19" s="473" t="str">
        <f t="shared" ref="BI19:BI43" si="4">IF(OR((RIGHT(T19,3)="U-O"),(RIGHT(T19,3)="E-O"),(RIGHT(T19,3)="U-P"),(RIGHT(T19,3)="E-P")),LEFT(T19,LEN(T19)-4),(IF(OR((RIGHT(T19,1)="U"),(RIGHT(T19,1)="E"),(RIGHT(T19,1)="O"),(RIGHT(T19,1)="P")),LEFT(T19,LEN(T19)-2),T19)))</f>
        <v>CR440Y780T-DP-EG12/12</v>
      </c>
      <c r="BJ19" s="473" t="str">
        <f t="shared" ref="BJ19:BJ43" si="5">IF(OR((RIGHT(W19,3)="U-O"),(RIGHT(W19,3)="E-O"),(RIGHT(W19,3)="U-P"),(RIGHT(W19,3)="E-P")),LEFT(W19,LEN(W19)-4),(IF(OR((RIGHT(W19,1)="U"),(RIGHT(W19,1)="E"),(RIGHT(W19,1)="O"),(RIGHT(W19,1)="P")),LEFT(W19,LEN(W19)-2),W19)))</f>
        <v>CR440Y780T-DP-GI40/40</v>
      </c>
      <c r="BM19" s="474">
        <f t="shared" ref="BM19:BM43" si="6">MAX(P19,S19,V19)</f>
        <v>3</v>
      </c>
      <c r="BN19" s="475">
        <f>LARGE(BO19:BQ19,2)</f>
        <v>2.1</v>
      </c>
      <c r="BO19" s="474">
        <f t="shared" ref="BO19:BO43" si="7">P19</f>
        <v>3</v>
      </c>
      <c r="BP19" s="474">
        <f t="shared" ref="BP19:BP43" si="8">S19</f>
        <v>2.1</v>
      </c>
      <c r="BQ19" s="474">
        <f t="shared" ref="BQ19:BQ43" si="9">V19</f>
        <v>1.7</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332">
        <v>7.1011800000000003</v>
      </c>
      <c r="D20" s="333" t="s">
        <v>1936</v>
      </c>
      <c r="E20" s="334" t="s">
        <v>1188</v>
      </c>
      <c r="F20" s="335" t="s">
        <v>1933</v>
      </c>
      <c r="G20" s="336" t="s">
        <v>1930</v>
      </c>
      <c r="H20" s="337" t="s">
        <v>1934</v>
      </c>
      <c r="I20" s="479" t="s">
        <v>1188</v>
      </c>
      <c r="J20" s="338">
        <v>10.01</v>
      </c>
      <c r="K20" s="339">
        <v>-473.36</v>
      </c>
      <c r="L20" s="340">
        <v>91</v>
      </c>
      <c r="M20" s="341" t="s">
        <v>1935</v>
      </c>
      <c r="N20" s="342" t="s">
        <v>1928</v>
      </c>
      <c r="O20" s="343" t="s">
        <v>1929</v>
      </c>
      <c r="P20" s="319">
        <v>3</v>
      </c>
      <c r="Q20" s="320" t="s">
        <v>600</v>
      </c>
      <c r="R20" s="344">
        <f>IF(AND(ISBLANK(P20),ISTEXT(Q20)),"t1?",IF(AND(ISBLANK(Q20),ISBLANK(P20)),"",VLOOKUP(BH20,Materialliste!$A$2:$B$1615,2,FALSE)))</f>
        <v>350</v>
      </c>
      <c r="S20" s="319">
        <v>2.1</v>
      </c>
      <c r="T20" s="320" t="s">
        <v>1001</v>
      </c>
      <c r="U20" s="345">
        <f>IF(AND(ISBLANK(S20),ISTEXT(T20)),"t2?",IF(AND(ISBLANK(T20),ISBLANK(S20)),"",VLOOKUP(BI20,Materialliste!$A$2:$B$1615,2,FALSE)))</f>
        <v>550</v>
      </c>
      <c r="V20" s="319">
        <v>1.7</v>
      </c>
      <c r="W20" s="320" t="s">
        <v>1004</v>
      </c>
      <c r="X20" s="345">
        <f>IF(AND(ISBLANK(V20),ISTEXT(W20)),"t3?",IF(AND(ISBLANK(W20),ISBLANK(V20)),"",VLOOKUP(BJ20,Materialliste!$A$2:$B$1615,2,FALSE)))</f>
        <v>550</v>
      </c>
      <c r="Y20" s="443" t="s">
        <v>1925</v>
      </c>
      <c r="Z20" s="346">
        <f t="shared" si="0"/>
        <v>2.2800000000000002</v>
      </c>
      <c r="AA20" s="347">
        <f t="shared" ref="AA20:AA43" si="11">IF(AND(ISNUMBER(R20),ISNUMBER(U20)),IF(ISTEXT(X20),(R20+U20)/(220*3*10)+0.9,(R20+U20+X20)/(220*3*10)+0.9),"?Re")</f>
        <v>1.1196969696969696</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4.8025696969696972</v>
      </c>
      <c r="AC20" s="348">
        <f t="shared" ref="AC20:AC43" si="13">IF(AND(BT20="J",OR(G20="C",G20="X")),39,IF(OR(G20="C",G20="X"),IF(Z20="BLECH?","",IF(AND(BX20=TRUE,BZ20=TRUE),IF(Z20&lt;=2,((1.13*Z20+7.1+BY20)+(1.13*Z20+7.1+CA20))/2*BW20,((1.5*Z20+5.8+BY20)+(1.5*Z20+5.8+CA20))/2*BW20),IF(Z20&lt;=2,(1.13*Z20+7.1+BY20+CA20)*BW20,(1.5*Z20+5.8+BY20+CA20)*BW20))),IF(OR(G20="B",G20="S"),6,IF(G20="R",7,IF(AND(G20="M",BT20="N"),4.3,IF(AND(G20="M",BT20="J"),"21",""))))))</f>
        <v>9.2200000000000006</v>
      </c>
      <c r="AD20" s="323">
        <f t="shared" si="1"/>
        <v>900</v>
      </c>
      <c r="AE20" s="349">
        <f t="shared" ref="AE20:AE43" si="14">IF(AND(BT20="J",OR(G20="C",G20="X")),AB20*1,IF(OR(G20="C",G20="X"),AB20*BV20,IF(ISBLANK(G20),AB20,AB20*1)))</f>
        <v>4.8025696969696972</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5.0719818611663037</v>
      </c>
      <c r="AG20" s="482">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4.5634416836418543</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CR270LA-EG12/12</v>
      </c>
      <c r="BI20" s="473" t="str">
        <f t="shared" si="4"/>
        <v>CR440Y780T-DP-EG12/12</v>
      </c>
      <c r="BJ20" s="473" t="str">
        <f t="shared" si="5"/>
        <v>CR440Y780T-DP-GI40/40</v>
      </c>
      <c r="BM20" s="474">
        <f t="shared" si="6"/>
        <v>3</v>
      </c>
      <c r="BN20" s="475">
        <f t="shared" ref="BN20:BN43" si="22">LARGE(BO20:BQ20,2)</f>
        <v>2.1</v>
      </c>
      <c r="BO20" s="474">
        <f t="shared" si="7"/>
        <v>3</v>
      </c>
      <c r="BP20" s="474">
        <f t="shared" si="8"/>
        <v>2.1</v>
      </c>
      <c r="BQ20" s="474">
        <f t="shared" si="9"/>
        <v>1.7</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332">
        <v>7.1011899999999999</v>
      </c>
      <c r="D21" s="333" t="s">
        <v>1937</v>
      </c>
      <c r="E21" s="334" t="s">
        <v>1188</v>
      </c>
      <c r="F21" s="335" t="s">
        <v>1933</v>
      </c>
      <c r="G21" s="336" t="s">
        <v>1930</v>
      </c>
      <c r="H21" s="337" t="s">
        <v>1934</v>
      </c>
      <c r="I21" s="479" t="s">
        <v>1188</v>
      </c>
      <c r="J21" s="338">
        <v>-22.77</v>
      </c>
      <c r="K21" s="339">
        <v>-477.58</v>
      </c>
      <c r="L21" s="340">
        <v>91</v>
      </c>
      <c r="M21" s="341" t="s">
        <v>1935</v>
      </c>
      <c r="N21" s="342" t="s">
        <v>1928</v>
      </c>
      <c r="O21" s="343" t="s">
        <v>1929</v>
      </c>
      <c r="P21" s="319">
        <v>3</v>
      </c>
      <c r="Q21" s="320" t="s">
        <v>600</v>
      </c>
      <c r="R21" s="355">
        <f>IF(AND(ISBLANK(P21),ISTEXT(Q21)),"t1?",IF(AND(ISBLANK(Q21),ISBLANK(P21)),"",VLOOKUP(BH21,Materialliste!$A$2:$B$1615,2,FALSE)))</f>
        <v>350</v>
      </c>
      <c r="S21" s="319">
        <v>2.1</v>
      </c>
      <c r="T21" s="320" t="s">
        <v>1001</v>
      </c>
      <c r="U21" s="355">
        <f>IF(AND(ISBLANK(S21),ISTEXT(T21)),"t2?",IF(AND(ISBLANK(T21),ISBLANK(S21)),"",VLOOKUP(BI21,Materialliste!$A$2:$B$1615,2,FALSE)))</f>
        <v>550</v>
      </c>
      <c r="V21" s="319">
        <v>1.7</v>
      </c>
      <c r="W21" s="320" t="s">
        <v>1004</v>
      </c>
      <c r="X21" s="355">
        <f>IF(AND(ISBLANK(V21),ISTEXT(W21)),"t3?",IF(AND(ISBLANK(W21),ISBLANK(V21)),"",VLOOKUP(BJ21,Materialliste!$A$2:$B$1615,2,FALSE)))</f>
        <v>550</v>
      </c>
      <c r="Y21" s="443" t="s">
        <v>1925</v>
      </c>
      <c r="Z21" s="346">
        <f t="shared" si="0"/>
        <v>2.2800000000000002</v>
      </c>
      <c r="AA21" s="347">
        <f t="shared" si="11"/>
        <v>1.1196969696969696</v>
      </c>
      <c r="AB21" s="454">
        <f t="shared" si="12"/>
        <v>4.8025696969696972</v>
      </c>
      <c r="AC21" s="348">
        <f t="shared" si="13"/>
        <v>9.2200000000000006</v>
      </c>
      <c r="AD21" s="323">
        <f t="shared" si="1"/>
        <v>900</v>
      </c>
      <c r="AE21" s="349">
        <f t="shared" si="14"/>
        <v>4.8025696969696972</v>
      </c>
      <c r="AF21" s="480">
        <f t="shared" si="15"/>
        <v>5.0719818611663037</v>
      </c>
      <c r="AG21" s="482">
        <f t="shared" si="16"/>
        <v>4.5634416836418543</v>
      </c>
      <c r="AH21" s="461" t="str">
        <f t="shared" si="2"/>
        <v>39D 1978-2</v>
      </c>
      <c r="AI21" s="350">
        <f t="shared" si="17"/>
        <v>8</v>
      </c>
      <c r="AJ21" s="350">
        <f t="shared" si="18"/>
        <v>50</v>
      </c>
      <c r="AK21" s="350">
        <f t="shared" si="19"/>
        <v>8</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CR270LA-EG12/12</v>
      </c>
      <c r="BI21" s="473" t="str">
        <f t="shared" si="4"/>
        <v>CR440Y780T-DP-EG12/12</v>
      </c>
      <c r="BJ21" s="473" t="str">
        <f t="shared" si="5"/>
        <v>CR440Y780T-DP-GI40/40</v>
      </c>
      <c r="BM21" s="474">
        <f t="shared" si="6"/>
        <v>3</v>
      </c>
      <c r="BN21" s="475">
        <f t="shared" si="22"/>
        <v>2.1</v>
      </c>
      <c r="BO21" s="474">
        <f t="shared" si="7"/>
        <v>3</v>
      </c>
      <c r="BP21" s="474">
        <f t="shared" si="8"/>
        <v>2.1</v>
      </c>
      <c r="BQ21" s="474">
        <f t="shared" si="9"/>
        <v>1.7</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1"/>
      <c r="CH21" s="306" t="str">
        <f t="shared" si="30"/>
        <v>39D 1978-2</v>
      </c>
      <c r="CL21" s="306" t="str">
        <f t="shared" si="31"/>
        <v>39D 1978-2</v>
      </c>
    </row>
    <row r="22" spans="1:90" ht="33" customHeight="1">
      <c r="A22" s="798"/>
      <c r="B22" s="281"/>
      <c r="C22" s="510">
        <v>7.1012000000000004</v>
      </c>
      <c r="D22" s="333" t="s">
        <v>1938</v>
      </c>
      <c r="E22" s="334" t="s">
        <v>1188</v>
      </c>
      <c r="F22" s="335" t="s">
        <v>1933</v>
      </c>
      <c r="G22" s="336" t="s">
        <v>1930</v>
      </c>
      <c r="H22" s="337" t="s">
        <v>1934</v>
      </c>
      <c r="I22" s="479" t="s">
        <v>1188</v>
      </c>
      <c r="J22" s="338">
        <v>-46.7</v>
      </c>
      <c r="K22" s="339">
        <v>-480.67</v>
      </c>
      <c r="L22" s="340">
        <v>94.21</v>
      </c>
      <c r="M22" s="341" t="s">
        <v>1935</v>
      </c>
      <c r="N22" s="342" t="s">
        <v>1928</v>
      </c>
      <c r="O22" s="343" t="s">
        <v>1929</v>
      </c>
      <c r="P22" s="319">
        <v>3</v>
      </c>
      <c r="Q22" s="320" t="s">
        <v>600</v>
      </c>
      <c r="R22" s="355">
        <f>IF(AND(ISBLANK(P22),ISTEXT(Q22)),"t1?",IF(AND(ISBLANK(Q22),ISBLANK(P22)),"",VLOOKUP(BH22,Materialliste!$A$2:$B$1615,2,FALSE)))</f>
        <v>350</v>
      </c>
      <c r="S22" s="319">
        <v>2.1</v>
      </c>
      <c r="T22" s="320" t="s">
        <v>1001</v>
      </c>
      <c r="U22" s="355">
        <f>IF(AND(ISBLANK(S22),ISTEXT(T22)),"t2?",IF(AND(ISBLANK(T22),ISBLANK(S22)),"",VLOOKUP(BI22,Materialliste!$A$2:$B$1615,2,FALSE)))</f>
        <v>550</v>
      </c>
      <c r="V22" s="319">
        <v>1.7</v>
      </c>
      <c r="W22" s="356" t="s">
        <v>1004</v>
      </c>
      <c r="X22" s="355">
        <f>IF(AND(ISBLANK(V22),ISTEXT(W22)),"t3?",IF(AND(ISBLANK(W22),ISBLANK(V22)),"",VLOOKUP(BJ22,Materialliste!$A$2:$B$1615,2,FALSE)))</f>
        <v>550</v>
      </c>
      <c r="Y22" s="443" t="s">
        <v>1925</v>
      </c>
      <c r="Z22" s="346">
        <f t="shared" si="0"/>
        <v>2.2800000000000002</v>
      </c>
      <c r="AA22" s="347">
        <f t="shared" si="11"/>
        <v>1.1196969696969696</v>
      </c>
      <c r="AB22" s="454">
        <f t="shared" si="12"/>
        <v>4.8025696969696972</v>
      </c>
      <c r="AC22" s="348">
        <f t="shared" si="13"/>
        <v>9.2200000000000006</v>
      </c>
      <c r="AD22" s="323">
        <f t="shared" si="1"/>
        <v>900</v>
      </c>
      <c r="AE22" s="349">
        <f t="shared" si="14"/>
        <v>4.8025696969696972</v>
      </c>
      <c r="AF22" s="480">
        <f t="shared" si="15"/>
        <v>5.0719818611663037</v>
      </c>
      <c r="AG22" s="482">
        <f t="shared" si="16"/>
        <v>4.5634416836418543</v>
      </c>
      <c r="AH22" s="461" t="str">
        <f t="shared" si="2"/>
        <v>39D 1978-2</v>
      </c>
      <c r="AI22" s="350">
        <f t="shared" si="17"/>
        <v>8</v>
      </c>
      <c r="AJ22" s="350">
        <f t="shared" si="18"/>
        <v>50</v>
      </c>
      <c r="AK22" s="350">
        <f t="shared" si="19"/>
        <v>8</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CR270LA-EG12/12</v>
      </c>
      <c r="BI22" s="473" t="str">
        <f t="shared" si="4"/>
        <v>CR440Y780T-DP-EG12/12</v>
      </c>
      <c r="BJ22" s="473" t="str">
        <f t="shared" si="5"/>
        <v>CR440Y780T-DP-GI40/40</v>
      </c>
      <c r="BM22" s="474">
        <f t="shared" si="6"/>
        <v>3</v>
      </c>
      <c r="BN22" s="475">
        <f t="shared" si="22"/>
        <v>2.1</v>
      </c>
      <c r="BO22" s="474">
        <f t="shared" si="7"/>
        <v>3</v>
      </c>
      <c r="BP22" s="474">
        <f t="shared" si="8"/>
        <v>2.1</v>
      </c>
      <c r="BQ22" s="474">
        <f t="shared" si="9"/>
        <v>1.7</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0</v>
      </c>
      <c r="CA22" s="298">
        <f t="shared" si="29"/>
        <v>0</v>
      </c>
      <c r="CB22" s="331"/>
      <c r="CH22" s="306" t="str">
        <f t="shared" si="30"/>
        <v>39D 1978-2</v>
      </c>
      <c r="CL22" s="306" t="str">
        <f t="shared" si="31"/>
        <v>39D 1978-2</v>
      </c>
    </row>
    <row r="23" spans="1:90" ht="33" customHeight="1">
      <c r="A23" s="798"/>
      <c r="B23" s="281"/>
      <c r="C23" s="332">
        <v>7.10121</v>
      </c>
      <c r="D23" s="333" t="s">
        <v>1939</v>
      </c>
      <c r="E23" s="334" t="s">
        <v>1188</v>
      </c>
      <c r="F23" s="335" t="s">
        <v>1933</v>
      </c>
      <c r="G23" s="336" t="s">
        <v>1930</v>
      </c>
      <c r="H23" s="337" t="s">
        <v>1934</v>
      </c>
      <c r="I23" s="479" t="s">
        <v>1188</v>
      </c>
      <c r="J23" s="338">
        <v>-69.17</v>
      </c>
      <c r="K23" s="339">
        <v>-483.56</v>
      </c>
      <c r="L23" s="340">
        <v>134.15</v>
      </c>
      <c r="M23" s="342" t="s">
        <v>1935</v>
      </c>
      <c r="N23" s="342" t="s">
        <v>1928</v>
      </c>
      <c r="O23" s="342" t="s">
        <v>1929</v>
      </c>
      <c r="P23" s="319">
        <v>3</v>
      </c>
      <c r="Q23" s="320" t="s">
        <v>600</v>
      </c>
      <c r="R23" s="355">
        <f>IF(AND(ISBLANK(P23),ISTEXT(Q23)),"t1?",IF(AND(ISBLANK(Q23),ISBLANK(P23)),"",VLOOKUP(BH23,Materialliste!$A$2:$B$1615,2,FALSE)))</f>
        <v>350</v>
      </c>
      <c r="S23" s="319">
        <v>2.1</v>
      </c>
      <c r="T23" s="320" t="s">
        <v>1001</v>
      </c>
      <c r="U23" s="355">
        <f>IF(AND(ISBLANK(S23),ISTEXT(T23)),"t2?",IF(AND(ISBLANK(T23),ISBLANK(S23)),"",VLOOKUP(BI23,Materialliste!$A$2:$B$1615,2,FALSE)))</f>
        <v>550</v>
      </c>
      <c r="V23" s="319">
        <v>1.7</v>
      </c>
      <c r="W23" s="320" t="s">
        <v>1004</v>
      </c>
      <c r="X23" s="355">
        <f>IF(AND(ISBLANK(V23),ISTEXT(W23)),"t3?",IF(AND(ISBLANK(W23),ISBLANK(V23)),"",VLOOKUP(BJ23,Materialliste!$A$2:$B$1615,2,FALSE)))</f>
        <v>550</v>
      </c>
      <c r="Y23" s="443" t="s">
        <v>1925</v>
      </c>
      <c r="Z23" s="346">
        <f t="shared" si="0"/>
        <v>2.2800000000000002</v>
      </c>
      <c r="AA23" s="347">
        <f t="shared" si="11"/>
        <v>1.1196969696969696</v>
      </c>
      <c r="AB23" s="454">
        <f t="shared" si="12"/>
        <v>4.8025696969696972</v>
      </c>
      <c r="AC23" s="348">
        <f t="shared" si="13"/>
        <v>9.2200000000000006</v>
      </c>
      <c r="AD23" s="323">
        <f t="shared" si="1"/>
        <v>900</v>
      </c>
      <c r="AE23" s="349">
        <f t="shared" si="14"/>
        <v>4.8025696969696972</v>
      </c>
      <c r="AF23" s="480">
        <f t="shared" si="15"/>
        <v>5.0719818611663037</v>
      </c>
      <c r="AG23" s="482">
        <f t="shared" si="16"/>
        <v>4.5634416836418543</v>
      </c>
      <c r="AH23" s="461" t="str">
        <f t="shared" si="2"/>
        <v>39D 1978-2</v>
      </c>
      <c r="AI23" s="350">
        <f t="shared" si="17"/>
        <v>8</v>
      </c>
      <c r="AJ23" s="350">
        <f t="shared" si="18"/>
        <v>50</v>
      </c>
      <c r="AK23" s="350">
        <f t="shared" si="19"/>
        <v>8</v>
      </c>
      <c r="AL23" s="351">
        <f t="shared" si="20"/>
        <v>50</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CR270LA-EG12/12</v>
      </c>
      <c r="BI23" s="473" t="str">
        <f t="shared" si="4"/>
        <v>CR440Y780T-DP-EG12/12</v>
      </c>
      <c r="BJ23" s="473" t="str">
        <f t="shared" si="5"/>
        <v>CR440Y780T-DP-GI40/40</v>
      </c>
      <c r="BM23" s="474">
        <f t="shared" si="6"/>
        <v>3</v>
      </c>
      <c r="BN23" s="475">
        <f>LARGE(BO23:BQ23,2)</f>
        <v>2.1</v>
      </c>
      <c r="BO23" s="474">
        <f t="shared" si="7"/>
        <v>3</v>
      </c>
      <c r="BP23" s="474">
        <f t="shared" si="8"/>
        <v>2.1</v>
      </c>
      <c r="BQ23" s="474">
        <f t="shared" si="9"/>
        <v>1.7</v>
      </c>
      <c r="BR23" s="330"/>
      <c r="BS23" s="298" t="b">
        <f t="shared" si="23"/>
        <v>0</v>
      </c>
      <c r="BT23" s="282" t="str">
        <f>_xlfn.IFNA(IF(MATCH(Q23,Materialliste!$A$1563:$A$1615,0)&gt;=1,"J"),"N")</f>
        <v>N</v>
      </c>
      <c r="BU23" s="298">
        <f>IF(BS23=FALSE,0,300)</f>
        <v>0</v>
      </c>
      <c r="BV23" s="298">
        <f>IF(BS23=FALSE,1,0.7)</f>
        <v>1</v>
      </c>
      <c r="BW23" s="298">
        <f>IF(BS23=FALSE,1,0.85)</f>
        <v>1</v>
      </c>
      <c r="BX23" s="298" t="b">
        <f t="shared" si="10"/>
        <v>0</v>
      </c>
      <c r="BY23" s="298">
        <f>IF(BX23=TRUE,0.9,0)</f>
        <v>0</v>
      </c>
      <c r="BZ23" s="298" t="b">
        <f t="shared" si="28"/>
        <v>0</v>
      </c>
      <c r="CA23" s="298">
        <f>IF(BZ23=TRUE,-0.7,0)</f>
        <v>0</v>
      </c>
      <c r="CB23" s="331"/>
      <c r="CH23" s="306" t="str">
        <f t="shared" si="30"/>
        <v>39D 1978-2</v>
      </c>
      <c r="CL23" s="306" t="str">
        <f t="shared" si="31"/>
        <v>39D 1978-2</v>
      </c>
    </row>
    <row r="24" spans="1:90" ht="33" customHeight="1">
      <c r="A24" s="798"/>
      <c r="B24" s="281"/>
      <c r="C24" s="332">
        <v>7.1012199999999996</v>
      </c>
      <c r="D24" s="333" t="s">
        <v>1940</v>
      </c>
      <c r="E24" s="334" t="s">
        <v>1188</v>
      </c>
      <c r="F24" s="335" t="s">
        <v>1933</v>
      </c>
      <c r="G24" s="336" t="s">
        <v>1930</v>
      </c>
      <c r="H24" s="337" t="s">
        <v>1934</v>
      </c>
      <c r="I24" s="479" t="s">
        <v>1188</v>
      </c>
      <c r="J24" s="338">
        <v>-100.22</v>
      </c>
      <c r="K24" s="339">
        <v>-485.84</v>
      </c>
      <c r="L24" s="340">
        <v>140.25</v>
      </c>
      <c r="M24" s="342" t="s">
        <v>1935</v>
      </c>
      <c r="N24" s="342" t="s">
        <v>1928</v>
      </c>
      <c r="O24" s="342" t="s">
        <v>1929</v>
      </c>
      <c r="P24" s="319">
        <v>3</v>
      </c>
      <c r="Q24" s="320" t="s">
        <v>600</v>
      </c>
      <c r="R24" s="355">
        <f>IF(AND(ISBLANK(P24),ISTEXT(Q24)),"t1?",IF(AND(ISBLANK(Q24),ISBLANK(P24)),"",VLOOKUP(BH24,Materialliste!$A$2:$B$1615,2,FALSE)))</f>
        <v>350</v>
      </c>
      <c r="S24" s="319">
        <v>2.1</v>
      </c>
      <c r="T24" s="320" t="s">
        <v>1001</v>
      </c>
      <c r="U24" s="355">
        <f>IF(AND(ISBLANK(S24),ISTEXT(T24)),"t2?",IF(AND(ISBLANK(T24),ISBLANK(S24)),"",VLOOKUP(BI24,Materialliste!$A$2:$B$1615,2,FALSE)))</f>
        <v>550</v>
      </c>
      <c r="V24" s="319">
        <v>1.7</v>
      </c>
      <c r="W24" s="320" t="s">
        <v>1004</v>
      </c>
      <c r="X24" s="355">
        <f>IF(AND(ISBLANK(V24),ISTEXT(W24)),"t3?",IF(AND(ISBLANK(W24),ISBLANK(V24)),"",VLOOKUP(BJ24,Materialliste!$A$2:$B$1615,2,FALSE)))</f>
        <v>550</v>
      </c>
      <c r="Y24" s="443" t="s">
        <v>1925</v>
      </c>
      <c r="Z24" s="346">
        <f t="shared" si="0"/>
        <v>2.2800000000000002</v>
      </c>
      <c r="AA24" s="347">
        <f t="shared" si="11"/>
        <v>1.1196969696969696</v>
      </c>
      <c r="AB24" s="454">
        <f t="shared" si="12"/>
        <v>4.8025696969696972</v>
      </c>
      <c r="AC24" s="348">
        <f t="shared" si="13"/>
        <v>9.2200000000000006</v>
      </c>
      <c r="AD24" s="323">
        <f t="shared" si="1"/>
        <v>900</v>
      </c>
      <c r="AE24" s="349">
        <f t="shared" si="14"/>
        <v>4.8025696969696972</v>
      </c>
      <c r="AF24" s="480">
        <f t="shared" si="15"/>
        <v>5.0719818611663037</v>
      </c>
      <c r="AG24" s="482">
        <f t="shared" si="16"/>
        <v>4.5634416836418543</v>
      </c>
      <c r="AH24" s="461" t="str">
        <f t="shared" si="2"/>
        <v>39D 1978-2</v>
      </c>
      <c r="AI24" s="350">
        <f t="shared" si="17"/>
        <v>8</v>
      </c>
      <c r="AJ24" s="350">
        <f t="shared" si="18"/>
        <v>50</v>
      </c>
      <c r="AK24" s="350">
        <f t="shared" si="19"/>
        <v>8</v>
      </c>
      <c r="AL24" s="351">
        <f t="shared" si="20"/>
        <v>50</v>
      </c>
      <c r="AM24" s="692"/>
      <c r="AN24" s="693"/>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CR270LA-EG12/12</v>
      </c>
      <c r="BI24" s="473" t="str">
        <f t="shared" si="4"/>
        <v>CR440Y780T-DP-EG12/12</v>
      </c>
      <c r="BJ24" s="473" t="str">
        <f t="shared" si="5"/>
        <v>CR440Y780T-DP-GI40/40</v>
      </c>
      <c r="BM24" s="474">
        <f t="shared" si="6"/>
        <v>3</v>
      </c>
      <c r="BN24" s="475">
        <f t="shared" si="22"/>
        <v>2.1</v>
      </c>
      <c r="BO24" s="474">
        <f t="shared" si="7"/>
        <v>3</v>
      </c>
      <c r="BP24" s="474">
        <f t="shared" si="8"/>
        <v>2.1</v>
      </c>
      <c r="BQ24" s="474">
        <f t="shared" si="9"/>
        <v>1.7</v>
      </c>
      <c r="BR24" s="330"/>
      <c r="BS24" s="298" t="b">
        <f t="shared" si="23"/>
        <v>0</v>
      </c>
      <c r="BT24" s="282" t="str">
        <f>_xlfn.IFNA(IF(MATCH(Q24,Materialliste!$A$1563:$A$1615,0)&gt;=1,"J"),"N")</f>
        <v>N</v>
      </c>
      <c r="BU24" s="298">
        <f t="shared" si="24"/>
        <v>0</v>
      </c>
      <c r="BV24" s="298">
        <f t="shared" si="25"/>
        <v>1</v>
      </c>
      <c r="BW24" s="298">
        <f t="shared" si="26"/>
        <v>1</v>
      </c>
      <c r="BX24" s="298" t="b">
        <f t="shared" si="10"/>
        <v>0</v>
      </c>
      <c r="BY24" s="298">
        <f t="shared" si="27"/>
        <v>0</v>
      </c>
      <c r="BZ24" s="298" t="b">
        <f t="shared" si="28"/>
        <v>0</v>
      </c>
      <c r="CA24" s="298">
        <f t="shared" si="29"/>
        <v>0</v>
      </c>
      <c r="CB24" s="331"/>
      <c r="CH24" s="306" t="str">
        <f t="shared" si="30"/>
        <v>39D 1978-2</v>
      </c>
      <c r="CL24" s="306" t="str">
        <f t="shared" si="31"/>
        <v>39D 1978-2</v>
      </c>
    </row>
    <row r="25" spans="1:90" ht="33" customHeight="1">
      <c r="A25" s="798"/>
      <c r="B25" s="281"/>
      <c r="C25" s="332">
        <v>7.1012300000000002</v>
      </c>
      <c r="D25" s="333" t="s">
        <v>1941</v>
      </c>
      <c r="E25" s="334" t="s">
        <v>1188</v>
      </c>
      <c r="F25" s="335" t="s">
        <v>1933</v>
      </c>
      <c r="G25" s="336" t="s">
        <v>1930</v>
      </c>
      <c r="H25" s="337" t="s">
        <v>1934</v>
      </c>
      <c r="I25" s="479" t="s">
        <v>1188</v>
      </c>
      <c r="J25" s="338">
        <v>-127.23</v>
      </c>
      <c r="K25" s="339">
        <v>-489.32</v>
      </c>
      <c r="L25" s="340">
        <v>141.87</v>
      </c>
      <c r="M25" s="342" t="s">
        <v>1935</v>
      </c>
      <c r="N25" s="342" t="s">
        <v>1928</v>
      </c>
      <c r="O25" s="342" t="s">
        <v>1929</v>
      </c>
      <c r="P25" s="319">
        <v>3</v>
      </c>
      <c r="Q25" s="320" t="s">
        <v>600</v>
      </c>
      <c r="R25" s="355">
        <f>IF(AND(ISBLANK(P25),ISTEXT(Q25)),"t1?",IF(AND(ISBLANK(Q25),ISBLANK(P25)),"",VLOOKUP(BH25,Materialliste!$A$2:$B$1615,2,FALSE)))</f>
        <v>350</v>
      </c>
      <c r="S25" s="319">
        <v>2.1</v>
      </c>
      <c r="T25" s="320" t="s">
        <v>1001</v>
      </c>
      <c r="U25" s="355">
        <f>IF(AND(ISBLANK(S25),ISTEXT(T25)),"t2?",IF(AND(ISBLANK(T25),ISBLANK(S25)),"",VLOOKUP(BI25,Materialliste!$A$2:$B$1615,2,FALSE)))</f>
        <v>550</v>
      </c>
      <c r="V25" s="319">
        <v>1.7</v>
      </c>
      <c r="W25" s="320" t="s">
        <v>1004</v>
      </c>
      <c r="X25" s="355">
        <f>IF(AND(ISBLANK(V25),ISTEXT(W25)),"t3?",IF(AND(ISBLANK(W25),ISBLANK(V25)),"",VLOOKUP(BJ25,Materialliste!$A$2:$B$1615,2,FALSE)))</f>
        <v>550</v>
      </c>
      <c r="Y25" s="443" t="s">
        <v>1925</v>
      </c>
      <c r="Z25" s="346">
        <f t="shared" si="0"/>
        <v>2.2800000000000002</v>
      </c>
      <c r="AA25" s="347">
        <f t="shared" si="11"/>
        <v>1.1196969696969696</v>
      </c>
      <c r="AB25" s="454">
        <f t="shared" si="12"/>
        <v>4.8025696969696972</v>
      </c>
      <c r="AC25" s="348">
        <f t="shared" si="13"/>
        <v>9.2200000000000006</v>
      </c>
      <c r="AD25" s="323">
        <f t="shared" si="1"/>
        <v>900</v>
      </c>
      <c r="AE25" s="349">
        <f t="shared" si="14"/>
        <v>4.8025696969696972</v>
      </c>
      <c r="AF25" s="480">
        <f t="shared" si="15"/>
        <v>5.0719818611663037</v>
      </c>
      <c r="AG25" s="482">
        <f t="shared" si="16"/>
        <v>4.5634416836418543</v>
      </c>
      <c r="AH25" s="461" t="str">
        <f t="shared" si="2"/>
        <v>39D 1978-2</v>
      </c>
      <c r="AI25" s="350">
        <f t="shared" si="17"/>
        <v>8</v>
      </c>
      <c r="AJ25" s="350">
        <f t="shared" si="18"/>
        <v>50</v>
      </c>
      <c r="AK25" s="350">
        <f t="shared" si="19"/>
        <v>8</v>
      </c>
      <c r="AL25" s="351">
        <f t="shared" si="20"/>
        <v>50</v>
      </c>
      <c r="AM25" s="692"/>
      <c r="AN25" s="693"/>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CR270LA-EG12/12</v>
      </c>
      <c r="BI25" s="473" t="str">
        <f t="shared" si="4"/>
        <v>CR440Y780T-DP-EG12/12</v>
      </c>
      <c r="BJ25" s="473" t="str">
        <f t="shared" si="5"/>
        <v>CR440Y780T-DP-GI40/40</v>
      </c>
      <c r="BM25" s="474">
        <f t="shared" si="6"/>
        <v>3</v>
      </c>
      <c r="BN25" s="475">
        <f t="shared" si="22"/>
        <v>2.1</v>
      </c>
      <c r="BO25" s="474">
        <f t="shared" si="7"/>
        <v>3</v>
      </c>
      <c r="BP25" s="474">
        <f t="shared" si="8"/>
        <v>2.1</v>
      </c>
      <c r="BQ25" s="474">
        <f t="shared" si="9"/>
        <v>1.7</v>
      </c>
      <c r="BR25" s="330"/>
      <c r="BS25" s="298" t="b">
        <f t="shared" si="23"/>
        <v>0</v>
      </c>
      <c r="BT25" s="282" t="str">
        <f>_xlfn.IFNA(IF(MATCH(Q25,Materialliste!$A$1563:$A$1615,0)&gt;=1,"J"),"N")</f>
        <v>N</v>
      </c>
      <c r="BU25" s="298">
        <f t="shared" si="24"/>
        <v>0</v>
      </c>
      <c r="BV25" s="298">
        <f t="shared" si="25"/>
        <v>1</v>
      </c>
      <c r="BW25" s="298">
        <f t="shared" si="26"/>
        <v>1</v>
      </c>
      <c r="BX25" s="298" t="b">
        <f t="shared" si="10"/>
        <v>0</v>
      </c>
      <c r="BY25" s="298">
        <f t="shared" si="27"/>
        <v>0</v>
      </c>
      <c r="BZ25" s="298" t="b">
        <f t="shared" si="28"/>
        <v>0</v>
      </c>
      <c r="CA25" s="298">
        <f t="shared" si="29"/>
        <v>0</v>
      </c>
      <c r="CB25" s="331"/>
      <c r="CH25" s="306" t="str">
        <f t="shared" si="30"/>
        <v>39D 1978-2</v>
      </c>
      <c r="CL25" s="306" t="str">
        <f t="shared" si="31"/>
        <v>39D 1978-2</v>
      </c>
    </row>
    <row r="26" spans="1:90" ht="33" customHeight="1">
      <c r="A26" s="798"/>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Sheet?</v>
      </c>
      <c r="AA26" s="347" t="str">
        <f t="shared" si="11"/>
        <v>?Re</v>
      </c>
      <c r="AB26" s="454" t="str">
        <f t="shared" si="12"/>
        <v>Adhesive?</v>
      </c>
      <c r="AC26" s="348" t="str">
        <f t="shared" si="13"/>
        <v/>
      </c>
      <c r="AD26" s="323" t="str">
        <f>IF(OR(ISBLANK(G26),Z26="BLECH?"),"",IF(AND(BT26="J",G26="C"),60,IF(G26="B",60,IF(G26="R",150,IF(G26="S",90,IF(AND(G26="m",BT26="n"),350,IF(AND(G26="m",BT26="j"),50,MAX(MIN((((P26+S26+V26-1.4)*(600/4.6))+200)+BU26,900),200))))))))</f>
        <v/>
      </c>
      <c r="AE26" s="349" t="str">
        <f t="shared" si="14"/>
        <v>Adhesive?</v>
      </c>
      <c r="AF26" s="480" t="str">
        <f t="shared" si="15"/>
        <v/>
      </c>
      <c r="AG26" s="482" t="str">
        <f t="shared" si="16"/>
        <v/>
      </c>
      <c r="AH26" s="461" t="str">
        <f t="shared" si="2"/>
        <v/>
      </c>
      <c r="AI26" s="350" t="str">
        <f t="shared" si="17"/>
        <v/>
      </c>
      <c r="AJ26" s="350" t="str">
        <f t="shared" si="18"/>
        <v/>
      </c>
      <c r="AK26" s="350" t="str">
        <f t="shared" si="19"/>
        <v/>
      </c>
      <c r="AL26" s="351" t="str">
        <f t="shared" si="20"/>
        <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798"/>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Sheet?</v>
      </c>
      <c r="AA27" s="347" t="str">
        <f t="shared" si="11"/>
        <v>?Re</v>
      </c>
      <c r="AB27" s="454" t="str">
        <f t="shared" si="12"/>
        <v>Adhesive?</v>
      </c>
      <c r="AC27" s="348" t="str">
        <f t="shared" si="13"/>
        <v/>
      </c>
      <c r="AD27" s="323" t="str">
        <f t="shared" ref="AD27:AD43" si="32">IF(OR(ISBLANK(G27),Z27="BLECH?"),"",IF(AND(BT27="J",G27="C"),60,IF(G27="B",60,IF(G27="R",150,IF(G27="S",90,IF(AND(G27="m",BT27="n"),350,IF(AND(G27="m",BT27="j"),50,MAX(MIN((((P27+S27+V27-1.4)*(600/4.6))+200)+BU27,900),200))))))))</f>
        <v/>
      </c>
      <c r="AE27" s="349" t="str">
        <f t="shared" si="14"/>
        <v>Adhesive?</v>
      </c>
      <c r="AF27" s="480" t="str">
        <f t="shared" si="15"/>
        <v/>
      </c>
      <c r="AG27" s="482" t="str">
        <f t="shared" si="16"/>
        <v/>
      </c>
      <c r="AH27" s="461" t="str">
        <f t="shared" si="2"/>
        <v/>
      </c>
      <c r="AI27" s="350" t="str">
        <f t="shared" si="17"/>
        <v/>
      </c>
      <c r="AJ27" s="350" t="str">
        <f t="shared" si="18"/>
        <v/>
      </c>
      <c r="AK27" s="350" t="str">
        <f t="shared" si="19"/>
        <v/>
      </c>
      <c r="AL27" s="351" t="str">
        <f t="shared" si="20"/>
        <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798"/>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2"/>
      <c r="AN28" s="693"/>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8"/>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8"/>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8"/>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Cylinder Diameter (mm)              (only for SPZ)</v>
      </c>
      <c r="D44" s="944"/>
      <c r="E44" s="946"/>
      <c r="F44" s="941" t="str">
        <f>IF($E$6="DE","Schweißkraft min. [N]","Welding Force min. [N]")</f>
        <v>Welding Force min. [N]</v>
      </c>
      <c r="G44" s="942"/>
      <c r="H44" s="411">
        <f>IF(AND(AN45="JA",ISTEXT(AG47),ISNUMBER(AL47)),(IF(G6="RZ",ROUNDDOWN(MIN(AE19:AE43)*1000,-2),IF(G6="SPZ",ROUNDDOWN(MIN(AE19:AE43)*1000,-2),"Zangentyp?"))),(IF(G6="RZ",ROUNDDOWN(MIN(AB19:AB43)*1000,-2),IF(G6="SPZ",ROUNDDOWN(MIN(AB19:AB43)*1000,-2),"Zangentyp?"))))</f>
        <v>4800</v>
      </c>
      <c r="I44" s="941" t="str">
        <f>IF($E$6="DE","Ausladung [mm]","Distance to Tip [mm]")</f>
        <v>Distance to Tip [mm]</v>
      </c>
      <c r="J44" s="957"/>
      <c r="K44" s="956"/>
      <c r="L44" s="412"/>
      <c r="M44" s="941" t="str">
        <f>IF($E$6="DE","Zylinderkraft min. [N]","Cyl. Force min. [N]")</f>
        <v>Cyl. Force min. [N]</v>
      </c>
      <c r="N44" s="956"/>
      <c r="O44" s="413" t="e">
        <f>IF(G8="J",(H44/L46)*2,H44/L46)</f>
        <v>#DIV/0!</v>
      </c>
      <c r="P44" s="941" t="str">
        <f>IF($E$6="DE","Zylinderdruck min. [bar]","Cyl. Pressure min. [bar]")</f>
        <v>Cyl. Pressure min. [bar]</v>
      </c>
      <c r="Q44" s="956"/>
      <c r="R44" s="761" t="e">
        <f>10*O44/(H46*E46)</f>
        <v>#DIV/0!</v>
      </c>
      <c r="S44" s="762"/>
      <c r="T44" s="781" t="str">
        <f>IF(AND($E$6="DE",G6="RZ"),"Ergebnis Zangen-/Motorauslegung",IF(AND($E$6="ENG",G6="RZ"),"Result Gun/Motor Design",IF(AND($E$6="DE",G6="SPZ"),"Ergebnis zwischen 1,0 bar und 10 bar:",IF(AND($E$6="ENG",G6="SPZ"),"Result between 1,0 bar and 10 bar:","-"))))</f>
        <v>Result between 1,0 bar and 10 bar:</v>
      </c>
      <c r="U44" s="782"/>
      <c r="V44" s="782"/>
      <c r="W44" s="783"/>
      <c r="X44" s="829" t="str">
        <f>IF($E$6="DE","benötigte Elektrodenkappen für Schweißzange","required Electrode Caps for Gun")</f>
        <v>required Electrode Caps for Gun</v>
      </c>
      <c r="Y44" s="830"/>
      <c r="Z44" s="831"/>
      <c r="AA44" s="792" t="str">
        <f>IF($E$6="DE","benötigtes Fräsmesser","required Tip Dresser")</f>
        <v>required Tip Dresser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 of Indices</v>
      </c>
      <c r="AP44" s="862"/>
      <c r="AQ44" s="862"/>
      <c r="AR44" s="862"/>
      <c r="AS44" s="862"/>
      <c r="AT44" s="862"/>
      <c r="AU44" s="862"/>
      <c r="AV44" s="862"/>
      <c r="AW44" s="862"/>
      <c r="AX44" s="862"/>
      <c r="AY44" s="862"/>
      <c r="AZ44" s="862"/>
      <c r="BA44" s="862"/>
      <c r="BB44" s="863"/>
      <c r="BC44" s="282"/>
      <c r="BD44" s="282"/>
      <c r="BE44" s="282"/>
      <c r="BF44" s="282">
        <f>COUNTIF(BF19:BF43,"Ja")</f>
        <v>0</v>
      </c>
    </row>
    <row r="45" spans="1:90" ht="25.5" customHeight="1" thickBot="1">
      <c r="A45" s="798"/>
      <c r="B45" s="281"/>
      <c r="C45" s="945"/>
      <c r="D45" s="942"/>
      <c r="E45" s="947"/>
      <c r="F45" s="948" t="str">
        <f>IF($E$6="DE","Schweißkraft max. [N]","Welding Force max. [N]")</f>
        <v>Welding Force max. [N]</v>
      </c>
      <c r="G45" s="949"/>
      <c r="H45" s="414">
        <f>IF(AND(AN45="Ja",ISTEXT(AG47),ISNUMBER(AL47)),(IF(ROUNDUP(MAX(AE19:AE43)*2300,-3)&gt;5000,(ROUNDUP(MAX(AE19:AE43)*2300,-3)/2),2500)),(IF(ROUNDUP(MAX(AB19:AB43)*2200,-3)&gt;5000,(ROUNDUP(MAX(AB19:AB43)*2200,-3)/2),IF(BL9=TRUE,1100,2500))))</f>
        <v>5500</v>
      </c>
      <c r="I45" s="948" t="str">
        <f>IF(G6="RZ",IF($E$6="DE","Abstand Motor [mm]","Distance to Motor [mm]"),IF($E$6="DE","Abstand Zylinder [mm]","Distance to Cylinder [mm]"))</f>
        <v>Distance to Cylinder [mm]</v>
      </c>
      <c r="J45" s="958"/>
      <c r="K45" s="949"/>
      <c r="L45" s="415"/>
      <c r="M45" s="950" t="str">
        <f>IF($E$6="DE","Zylinderkraft max.[N]","Cyl. Force max.[N]")</f>
        <v>Cyl. Force max.[N]</v>
      </c>
      <c r="N45" s="951"/>
      <c r="O45" s="416" t="e">
        <f>IF(G8="J",(H45/L46)*2,H45/L46)</f>
        <v>#DIV/0!</v>
      </c>
      <c r="P45" s="950" t="str">
        <f>IF($E$6="DE","Zylinderdruck max. [bar]","Cyl. Pressure max. [bar]")</f>
        <v>Cyl. Pressure max. [bar]</v>
      </c>
      <c r="Q45" s="951"/>
      <c r="R45" s="759" t="e">
        <f>10*O45/(H46*E46)</f>
        <v>#DIV/0!</v>
      </c>
      <c r="S45" s="760"/>
      <c r="T45" s="789" t="str">
        <f>IF(G6="RZ",BH49,IF(G6="SPZ",BH46,IF(G6="-","Zangentyp/Guntype?")))</f>
        <v>Max. Force of Gun acc.Drw.exceeded</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Cylinder Efficiency                                  (only for SPZ)</v>
      </c>
      <c r="D46" s="951"/>
      <c r="E46" s="416">
        <v>0.95</v>
      </c>
      <c r="F46" s="950" t="str">
        <f>IF($E$6="DE","Zylinderfläche [mm²] (nur für SPZ)","Cylinder Surface [mm²] (only for SPZ)")</f>
        <v>Cylinder Surface [mm²] (only for SPZ)</v>
      </c>
      <c r="G46" s="951"/>
      <c r="H46" s="420">
        <f>IF(E45="T",2*PI()/4*POWER(E44,2),PI()/4*POWER(E44,2))</f>
        <v>0</v>
      </c>
      <c r="I46" s="753" t="str">
        <f>IF($E$6="DE","Ausladung/ Abstand","Leverage Ratio")</f>
        <v>Leverage Ratio</v>
      </c>
      <c r="J46" s="754"/>
      <c r="K46" s="755"/>
      <c r="L46" s="421" t="e">
        <f>IF(G19="X",L45/L44,1)</f>
        <v>#DIV/0!</v>
      </c>
      <c r="M46" s="952" t="str">
        <f>IF($E$6="DE","notwendige Motorkraft min. [N]","requiered Motor Force min. [N]")</f>
        <v>requiered Motor Force min. [N]</v>
      </c>
      <c r="N46" s="953"/>
      <c r="O46" s="422" t="e">
        <f>IF(G8="J",(H44/L46)*2,H44/L46)</f>
        <v>#DIV/0!</v>
      </c>
      <c r="P46" s="952" t="str">
        <f>IF($E$6="DE","erreichbare Motorkraft min. [N]","feasible Motor Force min. [N]")</f>
        <v>feasible Motor Force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7"/>
      <c r="Z46" s="828"/>
      <c r="AA46" s="423">
        <f>IF(AND(X46="39D 1978-2",MAX(AI19:AI43)=8),8,(VLOOKUP(X46,AH19:AL43,2,FALSE)))</f>
        <v>8</v>
      </c>
      <c r="AB46" s="424">
        <f>VLOOKUP(X46,AH19:AL43,3,FALSE)</f>
        <v>50</v>
      </c>
      <c r="AC46" s="425">
        <f>IF(AND(X46="39D 1978-2",MAX(AK19:AK43)=8),8,(VLOOKUP(X46,AH19:AL43,4,FALSE)))</f>
        <v>8</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854"/>
      <c r="BJ46" s="279" t="s">
        <v>1708</v>
      </c>
    </row>
    <row r="47" spans="1:90" ht="42.75" customHeight="1" thickBot="1">
      <c r="A47" s="798"/>
      <c r="B47" s="281"/>
      <c r="C47" s="939" t="str">
        <f>IF($E$6="DE","Roboterhersteller                                          (nur für RZ)","Robot Supplier                                  (only for RZ)")</f>
        <v>Robot Supplier                                  (only for RZ)</v>
      </c>
      <c r="D47" s="940"/>
      <c r="E47" s="427"/>
      <c r="F47" s="939" t="str">
        <f>IF($E$6="DE","Zangengrundkörper               (nur für RZ)","Weld Gun Basic Body (only for RZ)")</f>
        <v>Weld Gun Basic Body (only for RZ)</v>
      </c>
      <c r="G47" s="940"/>
      <c r="H47" s="427"/>
      <c r="I47" s="756" t="str">
        <f>IF($E$6="DE","Motorhersteller                           (nur für RZ)","Motor Supplier                        (only for RZ)")</f>
        <v>Motor Supplier                        (only for RZ)</v>
      </c>
      <c r="J47" s="757"/>
      <c r="K47" s="758"/>
      <c r="L47" s="427"/>
      <c r="M47" s="954" t="str">
        <f>IF($E$6="DE","notwendige Motorkraft max. [N]","requiered Motor Force max. [N]")</f>
        <v>requiered Motor Force max. [N]</v>
      </c>
      <c r="N47" s="955"/>
      <c r="O47" s="428" t="e">
        <f>IF(G8="J",(H45/L46)*2,H45/L46)</f>
        <v>#DIV/0!</v>
      </c>
      <c r="P47" s="954" t="str">
        <f>IF($E$6="DE","erreichbare Motorkraft max. [N]"," feasible  Motor Force max. [N]")</f>
        <v xml:space="preserve"> feasible  Motor Force max. [N]</v>
      </c>
      <c r="Q47" s="955"/>
      <c r="R47" s="770" t="str">
        <f>IF(ISNA(VLOOKUP(CONCATENATE(E47,H47,L47),Motordaten!D3:H45,4,FALSE)),"",VLOOKUP(CONCATENATE(E47,H47,L47),Motordaten!D3:H45,4,FALSE))</f>
        <v/>
      </c>
      <c r="S47" s="771"/>
      <c r="T47" s="775" t="str">
        <f>IF($E$6="DE","Max.Elektrodenkraft lt.Zeichnung[N]","Max.Electrode-Force acc.to Drw.[N]")</f>
        <v>Max.Electrode-Force acc.to Drw.[N]</v>
      </c>
      <c r="U47" s="776"/>
      <c r="V47" s="777"/>
      <c r="W47" s="429">
        <v>5000</v>
      </c>
      <c r="X47" s="778" t="str">
        <f>IF($E$6="DE","Motorbezeichnung:","Designation of Motor")</f>
        <v>Designation of Motor</v>
      </c>
      <c r="Y47" s="779"/>
      <c r="Z47" s="780"/>
      <c r="AA47" s="778" t="str">
        <f>_xlfn.IFNA(VLOOKUP(CONCATENATE(E47,H47,L47),Motordaten!D3:H45,2,FALSE),IF(E6="DE","Kein Motortyp gefunden","no motortype found"))</f>
        <v>no motortype found</v>
      </c>
      <c r="AB47" s="779"/>
      <c r="AC47" s="779"/>
      <c r="AD47" s="780"/>
      <c r="AE47" s="1041" t="str">
        <f>IF(E6="DE", "Name:                         (Abteilung)","Name                        (Dept.)")</f>
        <v>Name                        (Dept.)</v>
      </c>
      <c r="AF47" s="876"/>
      <c r="AG47" s="880"/>
      <c r="AH47" s="881"/>
      <c r="AI47" s="882"/>
      <c r="AJ47" s="875" t="str">
        <f>IF(E6="DE", "Datum","Date")</f>
        <v>Date</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1500</v>
      </c>
      <c r="N48" s="928"/>
      <c r="O48" s="906" t="s">
        <v>13</v>
      </c>
      <c r="P48" s="931" t="s">
        <v>2</v>
      </c>
      <c r="Q48" s="932"/>
      <c r="R48" s="844" t="str">
        <f>IF(ISBLANK('Blatt 0'!X55),"Blatt 0!",'Blatt 0'!X55)</f>
        <v>GME</v>
      </c>
      <c r="S48" s="845"/>
      <c r="T48" s="845"/>
      <c r="U48" s="845"/>
      <c r="V48" s="846"/>
      <c r="W48" s="371" t="s">
        <v>42</v>
      </c>
      <c r="X48" s="812">
        <f>IF(ISBLANK('Blatt 0'!AB55),"Blatt 0!",'Blatt 0'!AB55)</f>
        <v>2</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ST1500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e">
        <f>IF(O46&lt;R46,IF(E6="DE","Rücksprache Prozessmethodik","consult Process Methodology")," ")</f>
        <v>#DIV/0!</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43" priority="427" stopIfTrue="1" operator="equal">
      <formula>"Ergebnis des Druckbereichs i.O."</formula>
    </cfRule>
    <cfRule type="cellIs" dxfId="142" priority="428" stopIfTrue="1" operator="equal">
      <formula>"Ergebnis des Druckbereichs nicht i.O."</formula>
    </cfRule>
  </conditionalFormatting>
  <conditionalFormatting sqref="BH47">
    <cfRule type="cellIs" dxfId="141" priority="425" stopIfTrue="1" operator="equal">
      <formula>" "</formula>
    </cfRule>
    <cfRule type="cellIs" dxfId="140" priority="426" stopIfTrue="1" operator="equal">
      <formula>"Rücksprache Prozessmethodik"</formula>
    </cfRule>
  </conditionalFormatting>
  <conditionalFormatting sqref="X46">
    <cfRule type="cellIs" dxfId="139" priority="419" stopIfTrue="1" operator="notEqual">
      <formula>"39D 1978-2"</formula>
    </cfRule>
    <cfRule type="containsText" dxfId="138" priority="420" stopIfTrue="1" operator="containsText" text="39D 1978-2">
      <formula>NOT(ISERROR(SEARCH("39D 1978-2",X46)))</formula>
    </cfRule>
    <cfRule type="expression" priority="421" stopIfTrue="1">
      <formula>1</formula>
    </cfRule>
  </conditionalFormatting>
  <conditionalFormatting sqref="AA46">
    <cfRule type="cellIs" dxfId="137" priority="418" stopIfTrue="1" operator="notEqual">
      <formula>6</formula>
    </cfRule>
  </conditionalFormatting>
  <conditionalFormatting sqref="AB46">
    <cfRule type="cellIs" dxfId="136" priority="417" stopIfTrue="1" operator="notEqual">
      <formula>50</formula>
    </cfRule>
  </conditionalFormatting>
  <conditionalFormatting sqref="AC46">
    <cfRule type="cellIs" dxfId="135" priority="416" stopIfTrue="1" operator="notEqual">
      <formula>6</formula>
    </cfRule>
  </conditionalFormatting>
  <conditionalFormatting sqref="AD46">
    <cfRule type="cellIs" dxfId="134" priority="413" stopIfTrue="1" operator="notEqual">
      <formula>50</formula>
    </cfRule>
  </conditionalFormatting>
  <conditionalFormatting sqref="CB19:CB43">
    <cfRule type="cellIs" dxfId="133" priority="438" stopIfTrue="1" operator="equal">
      <formula>$AC$19</formula>
    </cfRule>
  </conditionalFormatting>
  <conditionalFormatting sqref="G19:G43">
    <cfRule type="expression" dxfId="132" priority="412" stopIfTrue="1">
      <formula>OR(AND(ISNUMBER($P19),ISBLANK($G19)),AND(ISTEXT($G19),ISBLANK($P19)))</formula>
    </cfRule>
  </conditionalFormatting>
  <conditionalFormatting sqref="BH46">
    <cfRule type="cellIs" dxfId="131" priority="396" operator="equal">
      <formula>"pressure level not allowed"</formula>
    </cfRule>
    <cfRule type="cellIs" dxfId="130" priority="397" operator="equal">
      <formula>"presure level allowed"</formula>
    </cfRule>
    <cfRule type="cellIs" dxfId="129" priority="398" operator="equal">
      <formula>"Max. Force of gun acc.Drw.exceeded!"</formula>
    </cfRule>
    <cfRule type="cellIs" dxfId="128" priority="408" stopIfTrue="1" operator="equal">
      <formula>"Zangenkraft lt.Zangenzeichnung überschritten!"</formula>
    </cfRule>
  </conditionalFormatting>
  <conditionalFormatting sqref="AE19:AE43">
    <cfRule type="expression" dxfId="127" priority="404">
      <formula>ISERROR(AE19)</formula>
    </cfRule>
  </conditionalFormatting>
  <conditionalFormatting sqref="BH47">
    <cfRule type="cellIs" dxfId="126" priority="395" operator="equal">
      <formula>"consult process methodology"</formula>
    </cfRule>
  </conditionalFormatting>
  <conditionalFormatting sqref="W47">
    <cfRule type="expression" dxfId="125" priority="439" stopIfTrue="1">
      <formula>ISBLANK($W$47)</formula>
    </cfRule>
  </conditionalFormatting>
  <conditionalFormatting sqref="G6">
    <cfRule type="cellIs" dxfId="124" priority="394" operator="equal">
      <formula>"-"</formula>
    </cfRule>
  </conditionalFormatting>
  <conditionalFormatting sqref="H44">
    <cfRule type="cellIs" dxfId="123" priority="393" operator="equal">
      <formula>"Zangentyp?"</formula>
    </cfRule>
  </conditionalFormatting>
  <conditionalFormatting sqref="BH49">
    <cfRule type="cellIs" dxfId="122" priority="391" stopIfTrue="1" operator="equal">
      <formula>"Zangen/Motorauslegung i.O."</formula>
    </cfRule>
    <cfRule type="cellIs" dxfId="121" priority="392" stopIfTrue="1" operator="equal">
      <formula>"Zangen/Motorauslegung nicht i.O."</formula>
    </cfRule>
  </conditionalFormatting>
  <conditionalFormatting sqref="BH49 BJ49:BK49">
    <cfRule type="cellIs" dxfId="120" priority="385" operator="equal">
      <formula>"Gun/Electromotor Design not O.K."</formula>
    </cfRule>
    <cfRule type="cellIs" dxfId="119" priority="386" operator="equal">
      <formula>"Gun/Electromotor Design O.K."</formula>
    </cfRule>
    <cfRule type="cellIs" dxfId="118" priority="387" operator="equal">
      <formula>"incorrect Gun Type/Gun Body/Gun Measure"</formula>
    </cfRule>
    <cfRule type="cellIs" dxfId="117" priority="388" operator="equal">
      <formula>"Max. Force of Gun acc.Drw.exceeded!"</formula>
    </cfRule>
    <cfRule type="cellIs" dxfId="116" priority="389" operator="equal">
      <formula>"max. Zangenkraft lt.Zeichnung überschritten!"</formula>
    </cfRule>
    <cfRule type="cellIs" dxfId="115" priority="390" stopIfTrue="1" operator="equal">
      <formula>"Zangentyp/-grundkörper/-maße falsch"</formula>
    </cfRule>
  </conditionalFormatting>
  <conditionalFormatting sqref="BH50">
    <cfRule type="cellIs" dxfId="114" priority="383" stopIfTrue="1" operator="equal">
      <formula>" "</formula>
    </cfRule>
    <cfRule type="cellIs" dxfId="113" priority="384" stopIfTrue="1" operator="equal">
      <formula>"Rücksprache Prozessmethodik"</formula>
    </cfRule>
  </conditionalFormatting>
  <conditionalFormatting sqref="T46">
    <cfRule type="cellIs" dxfId="112" priority="373" stopIfTrue="1" operator="equal">
      <formula>" "</formula>
    </cfRule>
    <cfRule type="cellIs" dxfId="111" priority="374" stopIfTrue="1" operator="equal">
      <formula>"Rücksprache Prozessmethodik"</formula>
    </cfRule>
  </conditionalFormatting>
  <conditionalFormatting sqref="T46">
    <cfRule type="cellIs" dxfId="110" priority="372" operator="equal">
      <formula>"consult process methodology"</formula>
    </cfRule>
  </conditionalFormatting>
  <conditionalFormatting sqref="T45">
    <cfRule type="cellIs" dxfId="109" priority="370" stopIfTrue="1" operator="equal">
      <formula>"Zangen/Motorauslegung i.O."</formula>
    </cfRule>
    <cfRule type="cellIs" dxfId="108" priority="371" stopIfTrue="1" operator="equal">
      <formula>"Zangen/Motorauslegung nicht i.O."</formula>
    </cfRule>
  </conditionalFormatting>
  <conditionalFormatting sqref="T45:W45">
    <cfRule type="cellIs" dxfId="107" priority="330" operator="equal">
      <formula>"Zangentyp/Guntype?"</formula>
    </cfRule>
    <cfRule type="cellIs" dxfId="106" priority="360" operator="equal">
      <formula>"Pressure level not allowed"</formula>
    </cfRule>
    <cfRule type="cellIs" dxfId="105" priority="361" operator="equal">
      <formula>"Presure level allowed"</formula>
    </cfRule>
    <cfRule type="cellIs" dxfId="104" priority="362" operator="equal">
      <formula>"Ergebnis des Druckbereichs nicht i.O."</formula>
    </cfRule>
    <cfRule type="cellIs" dxfId="103" priority="363" operator="equal">
      <formula>"Ergebnis des Druckbereichs i.O."</formula>
    </cfRule>
    <cfRule type="cellIs" dxfId="102" priority="364" operator="equal">
      <formula>"Gun/Electromotor Design not O.K."</formula>
    </cfRule>
    <cfRule type="cellIs" dxfId="101" priority="365" operator="equal">
      <formula>"Gun/Electromotor Design O.K."</formula>
    </cfRule>
    <cfRule type="cellIs" dxfId="100" priority="366" operator="equal">
      <formula>"incorrect Gun Type/Gun Body/Gun Measure"</formula>
    </cfRule>
    <cfRule type="cellIs" dxfId="99" priority="367" operator="equal">
      <formula>"Max. Force of Gun acc.Drw.exceeded!"</formula>
    </cfRule>
    <cfRule type="cellIs" dxfId="98" priority="368" operator="equal">
      <formula>"max. Zangenkraft lt.Zeichnung überschritten!"</formula>
    </cfRule>
    <cfRule type="cellIs" dxfId="97" priority="369" stopIfTrue="1" operator="equal">
      <formula>"Zangentyp/-grundkörper/-maße falsch"</formula>
    </cfRule>
  </conditionalFormatting>
  <conditionalFormatting sqref="E47">
    <cfRule type="expression" dxfId="96" priority="359">
      <formula>$G$6="SPZ"</formula>
    </cfRule>
  </conditionalFormatting>
  <conditionalFormatting sqref="E44">
    <cfRule type="expression" dxfId="95" priority="352">
      <formula>$G$6="RZ"</formula>
    </cfRule>
  </conditionalFormatting>
  <conditionalFormatting sqref="E46">
    <cfRule type="expression" dxfId="94" priority="213">
      <formula>$G$6="RZ"</formula>
    </cfRule>
  </conditionalFormatting>
  <conditionalFormatting sqref="L44">
    <cfRule type="expression" dxfId="93" priority="299">
      <formula>ISERR($L$46)</formula>
    </cfRule>
  </conditionalFormatting>
  <conditionalFormatting sqref="L45">
    <cfRule type="expression" dxfId="92" priority="298">
      <formula>ISERR($L$46)</formula>
    </cfRule>
  </conditionalFormatting>
  <conditionalFormatting sqref="Y19">
    <cfRule type="expression" dxfId="91" priority="280">
      <formula>ISERR(AE19)</formula>
    </cfRule>
  </conditionalFormatting>
  <conditionalFormatting sqref="Y20:Y43">
    <cfRule type="expression" dxfId="90" priority="279">
      <formula>ISERR(AE20)</formula>
    </cfRule>
  </conditionalFormatting>
  <conditionalFormatting sqref="S41:S43">
    <cfRule type="expression" dxfId="89" priority="270">
      <formula>$U41="t2?"</formula>
    </cfRule>
  </conditionalFormatting>
  <conditionalFormatting sqref="AN45:AN46">
    <cfRule type="cellIs" dxfId="88" priority="236" operator="equal">
      <formula>"Ja"</formula>
    </cfRule>
  </conditionalFormatting>
  <conditionalFormatting sqref="AE45:AE46">
    <cfRule type="expression" dxfId="87" priority="443">
      <formula>AN45="Ja"</formula>
    </cfRule>
  </conditionalFormatting>
  <conditionalFormatting sqref="AE47">
    <cfRule type="expression" dxfId="86" priority="444">
      <formula>AND(AN45="Ja",ISBLANK($AG$47))</formula>
    </cfRule>
  </conditionalFormatting>
  <conditionalFormatting sqref="AJ47">
    <cfRule type="expression" dxfId="85" priority="445">
      <formula>AND(AN45="Ja",ISBLANK($AL$47))</formula>
    </cfRule>
  </conditionalFormatting>
  <conditionalFormatting sqref="AG47">
    <cfRule type="expression" dxfId="84" priority="235">
      <formula>AND(AN45="Ja",ISBLANK($AG$47))</formula>
    </cfRule>
  </conditionalFormatting>
  <conditionalFormatting sqref="AL47">
    <cfRule type="expression" dxfId="83" priority="234">
      <formula>AND(AN45="Ja",ISBLANK($AL$47))</formula>
    </cfRule>
  </conditionalFormatting>
  <conditionalFormatting sqref="G8">
    <cfRule type="expression" dxfId="82" priority="233">
      <formula>NOT(OR(G8="J",G8="N"))</formula>
    </cfRule>
  </conditionalFormatting>
  <conditionalFormatting sqref="S31:S39">
    <cfRule type="expression" dxfId="81" priority="227">
      <formula>$R31="t1?"</formula>
    </cfRule>
  </conditionalFormatting>
  <conditionalFormatting sqref="S40">
    <cfRule type="expression" dxfId="80" priority="226">
      <formula>$U40="t2?"</formula>
    </cfRule>
  </conditionalFormatting>
  <conditionalFormatting sqref="H47">
    <cfRule type="expression" dxfId="79" priority="221">
      <formula>$G$6="SPZ"</formula>
    </cfRule>
  </conditionalFormatting>
  <conditionalFormatting sqref="L47">
    <cfRule type="expression" dxfId="78" priority="220">
      <formula>$G$6="SPZ"</formula>
    </cfRule>
  </conditionalFormatting>
  <conditionalFormatting sqref="O46">
    <cfRule type="expression" dxfId="77" priority="219">
      <formula>$G$6="SPZ"</formula>
    </cfRule>
  </conditionalFormatting>
  <conditionalFormatting sqref="O47">
    <cfRule type="expression" dxfId="76" priority="218">
      <formula>$G$6="SPZ"</formula>
    </cfRule>
  </conditionalFormatting>
  <conditionalFormatting sqref="R46">
    <cfRule type="expression" dxfId="75" priority="217">
      <formula>$G$6="SPZ"</formula>
    </cfRule>
  </conditionalFormatting>
  <conditionalFormatting sqref="R47">
    <cfRule type="expression" dxfId="74" priority="216">
      <formula>$G$6="SPZ"</formula>
    </cfRule>
  </conditionalFormatting>
  <conditionalFormatting sqref="X47">
    <cfRule type="expression" dxfId="73" priority="215">
      <formula>$G$6="SPZ"</formula>
    </cfRule>
  </conditionalFormatting>
  <conditionalFormatting sqref="AA47">
    <cfRule type="expression" dxfId="72" priority="214">
      <formula>$G$6="SPZ"</formula>
    </cfRule>
  </conditionalFormatting>
  <conditionalFormatting sqref="H46">
    <cfRule type="expression" dxfId="71" priority="212">
      <formula>$G$6="RZ"</formula>
    </cfRule>
  </conditionalFormatting>
  <conditionalFormatting sqref="O44">
    <cfRule type="expression" dxfId="70" priority="211">
      <formula>$G$6="RZ"</formula>
    </cfRule>
  </conditionalFormatting>
  <conditionalFormatting sqref="O45">
    <cfRule type="expression" dxfId="69" priority="210">
      <formula>$G$6="RZ"</formula>
    </cfRule>
  </conditionalFormatting>
  <conditionalFormatting sqref="R44">
    <cfRule type="expression" dxfId="68" priority="209">
      <formula>$G$6="RZ"</formula>
    </cfRule>
  </conditionalFormatting>
  <conditionalFormatting sqref="R45">
    <cfRule type="expression" dxfId="67" priority="208">
      <formula>$G$6="RZ"</formula>
    </cfRule>
  </conditionalFormatting>
  <conditionalFormatting sqref="C44:D45">
    <cfRule type="expression" dxfId="66" priority="207">
      <formula>$G$6="RZ"</formula>
    </cfRule>
  </conditionalFormatting>
  <conditionalFormatting sqref="C46:D46">
    <cfRule type="expression" dxfId="65" priority="206">
      <formula>$G$6="RZ"</formula>
    </cfRule>
  </conditionalFormatting>
  <conditionalFormatting sqref="F46:G46">
    <cfRule type="expression" dxfId="64" priority="205">
      <formula>$G$6="RZ"</formula>
    </cfRule>
  </conditionalFormatting>
  <conditionalFormatting sqref="M45:N45">
    <cfRule type="expression" dxfId="63" priority="204">
      <formula>$G$6="RZ"</formula>
    </cfRule>
  </conditionalFormatting>
  <conditionalFormatting sqref="P45:Q45">
    <cfRule type="expression" dxfId="62" priority="203">
      <formula>$G$6="RZ"</formula>
    </cfRule>
  </conditionalFormatting>
  <conditionalFormatting sqref="M44:N44">
    <cfRule type="expression" dxfId="61" priority="202">
      <formula>$G$6="RZ"</formula>
    </cfRule>
  </conditionalFormatting>
  <conditionalFormatting sqref="P44:Q44">
    <cfRule type="expression" dxfId="60" priority="201">
      <formula>$G$6="RZ"</formula>
    </cfRule>
  </conditionalFormatting>
  <conditionalFormatting sqref="C47:D47">
    <cfRule type="expression" dxfId="59" priority="200">
      <formula>$G$6="SPZ"</formula>
    </cfRule>
  </conditionalFormatting>
  <conditionalFormatting sqref="F47:G47">
    <cfRule type="expression" dxfId="58" priority="199">
      <formula>$G$6="SPZ"</formula>
    </cfRule>
  </conditionalFormatting>
  <conditionalFormatting sqref="I47">
    <cfRule type="expression" dxfId="57" priority="198">
      <formula>$G$6="SPZ"</formula>
    </cfRule>
  </conditionalFormatting>
  <conditionalFormatting sqref="M46:N46">
    <cfRule type="expression" dxfId="56" priority="197">
      <formula>$G$6="SPZ"</formula>
    </cfRule>
  </conditionalFormatting>
  <conditionalFormatting sqref="M47:N47">
    <cfRule type="expression" dxfId="55" priority="196">
      <formula>$G$6="SPZ"</formula>
    </cfRule>
  </conditionalFormatting>
  <conditionalFormatting sqref="P47:Q47">
    <cfRule type="expression" dxfId="54" priority="195">
      <formula>$G$6="SPZ"</formula>
    </cfRule>
  </conditionalFormatting>
  <conditionalFormatting sqref="P46:Q46">
    <cfRule type="expression" dxfId="53" priority="194">
      <formula>$G$6="SPZ"</formula>
    </cfRule>
  </conditionalFormatting>
  <conditionalFormatting sqref="AF45:AM46">
    <cfRule type="expression" dxfId="52" priority="447">
      <formula>BG45="Ja"</formula>
    </cfRule>
  </conditionalFormatting>
  <conditionalFormatting sqref="AF47">
    <cfRule type="expression" dxfId="51" priority="449">
      <formula>AND(BG45="Ja",ISBLANK($AG$47))</formula>
    </cfRule>
  </conditionalFormatting>
  <conditionalFormatting sqref="AK47">
    <cfRule type="expression" dxfId="50" priority="451">
      <formula>AND(BG45="Ja",ISBLANK($AL$47))</formula>
    </cfRule>
  </conditionalFormatting>
  <conditionalFormatting sqref="AH47:AI47">
    <cfRule type="expression" dxfId="49" priority="453">
      <formula>AND(BG45="Ja",ISBLANK($AG$47))</formula>
    </cfRule>
  </conditionalFormatting>
  <conditionalFormatting sqref="AM47:AN47">
    <cfRule type="expression" dxfId="48" priority="458">
      <formula>AND(BG45="Ja",ISBLANK($AL$47))</formula>
    </cfRule>
  </conditionalFormatting>
  <conditionalFormatting sqref="W21">
    <cfRule type="expression" dxfId="47" priority="150">
      <formula>CELL("Schutz",W21)</formula>
    </cfRule>
  </conditionalFormatting>
  <conditionalFormatting sqref="V21">
    <cfRule type="expression" dxfId="46" priority="151">
      <formula>$R21="t1?"</formula>
    </cfRule>
  </conditionalFormatting>
  <conditionalFormatting sqref="V22 V31:V43 V26:V29">
    <cfRule type="expression" dxfId="45" priority="179">
      <formula>$R22="t1?"</formula>
    </cfRule>
  </conditionalFormatting>
  <conditionalFormatting sqref="P41:P43">
    <cfRule type="expression" dxfId="44" priority="174">
      <formula>$U41="t2?"</formula>
    </cfRule>
  </conditionalFormatting>
  <conditionalFormatting sqref="P31:P39">
    <cfRule type="expression" dxfId="43" priority="172">
      <formula>$R31="t1?"</formula>
    </cfRule>
  </conditionalFormatting>
  <conditionalFormatting sqref="P40">
    <cfRule type="expression" dxfId="42" priority="171">
      <formula>$U40="t2?"</formula>
    </cfRule>
  </conditionalFormatting>
  <conditionalFormatting sqref="AE44:AN44">
    <cfRule type="containsText" dxfId="41" priority="149"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0" priority="142">
      <formula>$R19="t1?"</formula>
    </cfRule>
  </conditionalFormatting>
  <conditionalFormatting sqref="P20:P28">
    <cfRule type="expression" dxfId="39" priority="141">
      <formula>$R20="t1?"</formula>
    </cfRule>
  </conditionalFormatting>
  <conditionalFormatting sqref="P19:P28">
    <cfRule type="expression" dxfId="38" priority="138">
      <formula>CELL("Schutz",P19)</formula>
    </cfRule>
  </conditionalFormatting>
  <conditionalFormatting sqref="V19">
    <cfRule type="expression" dxfId="37" priority="131">
      <formula>$R19="t1?"</formula>
    </cfRule>
  </conditionalFormatting>
  <conditionalFormatting sqref="V19">
    <cfRule type="expression" dxfId="36" priority="130">
      <formula>CELL("Schutz",V19)</formula>
    </cfRule>
  </conditionalFormatting>
  <conditionalFormatting sqref="P29">
    <cfRule type="expression" dxfId="35" priority="128">
      <formula>$R29="t1?"</formula>
    </cfRule>
  </conditionalFormatting>
  <conditionalFormatting sqref="S29">
    <cfRule type="expression" dxfId="34" priority="127">
      <formula>$R29="t1?"</formula>
    </cfRule>
  </conditionalFormatting>
  <conditionalFormatting sqref="P30">
    <cfRule type="expression" dxfId="33" priority="126">
      <formula>$R30="t1?"</formula>
    </cfRule>
  </conditionalFormatting>
  <conditionalFormatting sqref="S30">
    <cfRule type="expression" dxfId="32" priority="125">
      <formula>$R30="t1?"</formula>
    </cfRule>
  </conditionalFormatting>
  <conditionalFormatting sqref="V30">
    <cfRule type="expression" dxfId="31" priority="124">
      <formula>$R30="t1?"</formula>
    </cfRule>
  </conditionalFormatting>
  <conditionalFormatting sqref="I19:I43">
    <cfRule type="aboveAverage" dxfId="30" priority="122" aboveAverage="0"/>
    <cfRule type="aboveAverage" dxfId="29" priority="123"/>
  </conditionalFormatting>
  <conditionalFormatting sqref="G20:G43">
    <cfRule type="expression" dxfId="28" priority="116">
      <formula>AND(BI10=TRUE,BH10=TRUE)</formula>
    </cfRule>
  </conditionalFormatting>
  <conditionalFormatting sqref="G19:G43">
    <cfRule type="expression" dxfId="27" priority="459">
      <formula>AND(G19="X",$BJ$9=TRUE,$BI$9=TRUE)</formula>
    </cfRule>
  </conditionalFormatting>
  <conditionalFormatting sqref="G20:G43">
    <cfRule type="expression" dxfId="26" priority="460">
      <formula>AND($BJ$9=TRUE,$BI$9=TRUE)</formula>
    </cfRule>
  </conditionalFormatting>
  <conditionalFormatting sqref="V25">
    <cfRule type="expression" dxfId="25" priority="103">
      <formula>$R25="t1?"</formula>
    </cfRule>
  </conditionalFormatting>
  <conditionalFormatting sqref="W25:W27">
    <cfRule type="expression" dxfId="24" priority="91">
      <formula>CELL("Schutz",W25)</formula>
    </cfRule>
  </conditionalFormatting>
  <conditionalFormatting sqref="T27">
    <cfRule type="expression" dxfId="23" priority="89">
      <formula>CELL("Schutz",T27)</formula>
    </cfRule>
  </conditionalFormatting>
  <conditionalFormatting sqref="S19:S28">
    <cfRule type="expression" dxfId="22" priority="63">
      <formula>$R19="t1?"</formula>
    </cfRule>
  </conditionalFormatting>
  <conditionalFormatting sqref="S19:S28">
    <cfRule type="expression" dxfId="21" priority="62">
      <formula>CELL("Schutz",S19)</formula>
    </cfRule>
  </conditionalFormatting>
  <conditionalFormatting sqref="T26">
    <cfRule type="expression" dxfId="20" priority="46">
      <formula>CELL("Schutz",T26)</formula>
    </cfRule>
  </conditionalFormatting>
  <conditionalFormatting sqref="V24">
    <cfRule type="expression" dxfId="19" priority="45">
      <formula>$R24="t1?"</formula>
    </cfRule>
  </conditionalFormatting>
  <conditionalFormatting sqref="V24">
    <cfRule type="expression" dxfId="18" priority="44">
      <formula>CELL("Schutz",V24)</formula>
    </cfRule>
  </conditionalFormatting>
  <conditionalFormatting sqref="W24">
    <cfRule type="expression" dxfId="17" priority="43">
      <formula>CELL("Schutz",W24)</formula>
    </cfRule>
  </conditionalFormatting>
  <conditionalFormatting sqref="W23">
    <cfRule type="expression" dxfId="16" priority="41">
      <formula>CELL("Schutz",W23)</formula>
    </cfRule>
  </conditionalFormatting>
  <conditionalFormatting sqref="V23">
    <cfRule type="expression" dxfId="15" priority="40">
      <formula>$R23="t1?"</formula>
    </cfRule>
  </conditionalFormatting>
  <conditionalFormatting sqref="V23">
    <cfRule type="expression" dxfId="14" priority="39">
      <formula>CELL("Schutz",V23)</formula>
    </cfRule>
  </conditionalFormatting>
  <conditionalFormatting sqref="V20">
    <cfRule type="expression" dxfId="13" priority="32">
      <formula>$R20="t1?"</formula>
    </cfRule>
  </conditionalFormatting>
  <conditionalFormatting sqref="W19">
    <cfRule type="expression" dxfId="12" priority="26">
      <formula>CELL("Schutz",W19)</formula>
    </cfRule>
  </conditionalFormatting>
  <conditionalFormatting sqref="T19">
    <cfRule type="expression" dxfId="11" priority="19">
      <formula>CELL("Schutz",T19)</formula>
    </cfRule>
  </conditionalFormatting>
  <conditionalFormatting sqref="AR8:AU8">
    <cfRule type="expression" dxfId="10" priority="12">
      <formula>OR(AND(ISBLANK($AR$8),COUNTBLANK($AH$8:$AN$8)&lt;7),AND(ISBLANK($AR$8),$BF$44&gt;0))</formula>
    </cfRule>
  </conditionalFormatting>
  <conditionalFormatting sqref="AY8:BB8">
    <cfRule type="expression" dxfId="9" priority="10">
      <formula>OR(AND(ISBLANK($AY$8),COUNTBLANK($AH$8:$AN$8)&lt;7),AND(ISBLANK($AY$8),$BF$44&gt;0))</formula>
    </cfRule>
  </conditionalFormatting>
  <conditionalFormatting sqref="AO8:AQ8">
    <cfRule type="expression" dxfId="8" priority="9">
      <formula>OR(COUNTBLANK($AH$8:$AN$8)&lt;7,$BF$44&gt;0)</formula>
    </cfRule>
  </conditionalFormatting>
  <conditionalFormatting sqref="AV8:AX8">
    <cfRule type="expression" dxfId="7" priority="8">
      <formula>OR(COUNTBLANK($AH$8:$AN$8)&lt;7,$BF$44&gt;0)</formula>
    </cfRule>
  </conditionalFormatting>
  <conditionalFormatting sqref="AK8">
    <cfRule type="expression" dxfId="6" priority="7">
      <formula>AND($BF$44&gt;0,ISBLANK(AK8))</formula>
    </cfRule>
  </conditionalFormatting>
  <conditionalFormatting sqref="AL8">
    <cfRule type="expression" dxfId="5" priority="6">
      <formula>AND($BF$44&gt;0,ISBLANK(AL8))</formula>
    </cfRule>
  </conditionalFormatting>
  <conditionalFormatting sqref="AM8">
    <cfRule type="expression" dxfId="4" priority="5">
      <formula>AND($BF$44&gt;0,ISBLANK(AM8))</formula>
    </cfRule>
  </conditionalFormatting>
  <conditionalFormatting sqref="AN8">
    <cfRule type="expression" dxfId="3" priority="4">
      <formula>AND($BF$44&gt;0,ISBLANK(AN8))</formula>
    </cfRule>
  </conditionalFormatting>
  <conditionalFormatting sqref="W20">
    <cfRule type="expression" dxfId="2" priority="3">
      <formula>CELL("Schutz",W20)</formula>
    </cfRule>
  </conditionalFormatting>
  <conditionalFormatting sqref="Q19:Q31">
    <cfRule type="expression" dxfId="1" priority="2">
      <formula>CELL("Schutz",Q19)</formula>
    </cfRule>
  </conditionalFormatting>
  <conditionalFormatting sqref="T20:T25">
    <cfRule type="expression" dxfId="0" priority="1">
      <formula>CELL("Schutz",T20)</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1179" activePane="bottomLeft" state="frozen"/>
      <selection pane="bottomLeft" activeCell="A1203" sqref="A1203"/>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7" t="s">
        <v>1693</v>
      </c>
      <c r="D28" s="23" t="str">
        <f>CONCATENATE(A28,$B$28,$C$28)</f>
        <v>ABBC5000Tolomatic</v>
      </c>
      <c r="E28" s="22" t="s">
        <v>1740</v>
      </c>
      <c r="F28" s="23">
        <v>1500</v>
      </c>
      <c r="G28" s="23">
        <v>7560</v>
      </c>
      <c r="H28" s="22" t="s">
        <v>1695</v>
      </c>
    </row>
    <row r="29" spans="1:8" ht="15">
      <c r="A29" s="25" t="s">
        <v>1155</v>
      </c>
      <c r="B29" s="1103"/>
      <c r="C29" s="1108"/>
      <c r="D29" s="26" t="str">
        <f t="shared" ref="D29:D30" si="4">CONCATENATE(A29,$B$28,$C$28)</f>
        <v>KUKAC5000Tolomatic</v>
      </c>
      <c r="E29" s="25" t="s">
        <v>1740</v>
      </c>
      <c r="F29" s="26">
        <v>1500</v>
      </c>
      <c r="G29" s="26">
        <v>7560</v>
      </c>
      <c r="H29" s="25" t="s">
        <v>1696</v>
      </c>
    </row>
    <row r="30" spans="1:8" ht="15.75" thickBot="1">
      <c r="A30" s="24" t="s">
        <v>1153</v>
      </c>
      <c r="B30" s="1104"/>
      <c r="C30" s="1108"/>
      <c r="D30" s="21" t="str">
        <f t="shared" si="4"/>
        <v>FanucC5000Tolomatic</v>
      </c>
      <c r="E30" s="20" t="s">
        <v>1740</v>
      </c>
      <c r="F30" s="21">
        <v>1500</v>
      </c>
      <c r="G30" s="21">
        <v>7560</v>
      </c>
      <c r="H30" s="20">
        <v>28330057</v>
      </c>
    </row>
    <row r="31" spans="1:8" ht="15">
      <c r="A31" s="22" t="s">
        <v>1146</v>
      </c>
      <c r="B31" s="1102" t="s">
        <v>1150</v>
      </c>
      <c r="C31" s="1108"/>
      <c r="D31" s="470" t="str">
        <f>CONCATENATE(A31,$B$31,$C$28)</f>
        <v>ABBC8000Tolomatic</v>
      </c>
      <c r="E31" s="488" t="s">
        <v>1741</v>
      </c>
      <c r="F31" s="23">
        <v>1500</v>
      </c>
      <c r="G31" s="23">
        <v>11100</v>
      </c>
      <c r="H31" s="22">
        <v>28330079</v>
      </c>
    </row>
    <row r="32" spans="1:8" ht="15">
      <c r="A32" s="25" t="s">
        <v>1155</v>
      </c>
      <c r="B32" s="1103"/>
      <c r="C32" s="1108"/>
      <c r="D32" s="26" t="str">
        <f t="shared" ref="D32:D33" si="5">CONCATENATE(A32,$B$31,$C$28)</f>
        <v>KUKAC8000Tolomatic</v>
      </c>
      <c r="E32" s="466" t="s">
        <v>1741</v>
      </c>
      <c r="F32" s="26">
        <v>1500</v>
      </c>
      <c r="G32" s="26">
        <v>11100</v>
      </c>
      <c r="H32" s="25" t="s">
        <v>1742</v>
      </c>
    </row>
    <row r="33" spans="1:8" ht="15.75" thickBot="1">
      <c r="A33" s="24" t="s">
        <v>1153</v>
      </c>
      <c r="B33" s="1104"/>
      <c r="C33" s="1108"/>
      <c r="D33" s="21" t="str">
        <f t="shared" si="5"/>
        <v>FanucC8000Tolomatic</v>
      </c>
      <c r="E33" s="487" t="s">
        <v>1741</v>
      </c>
      <c r="F33" s="275">
        <v>1500</v>
      </c>
      <c r="G33" s="275">
        <v>11100</v>
      </c>
      <c r="H33" s="24">
        <v>28330081</v>
      </c>
    </row>
    <row r="34" spans="1:8" ht="15">
      <c r="A34" s="22" t="s">
        <v>1146</v>
      </c>
      <c r="B34" s="1102" t="s">
        <v>1166</v>
      </c>
      <c r="C34" s="1108"/>
      <c r="D34" s="470" t="str">
        <f>CONCATENATE(A34,$B$34,$C$28)</f>
        <v>ABBC8000 TunnelTolomatic</v>
      </c>
      <c r="E34" s="22" t="s">
        <v>1741</v>
      </c>
      <c r="F34" s="23">
        <v>1500</v>
      </c>
      <c r="G34" s="23">
        <v>11100</v>
      </c>
      <c r="H34" s="22">
        <v>28330034</v>
      </c>
    </row>
    <row r="35" spans="1:8" ht="15">
      <c r="A35" s="25" t="s">
        <v>1155</v>
      </c>
      <c r="B35" s="1103"/>
      <c r="C35" s="1108"/>
      <c r="D35" s="26" t="str">
        <f t="shared" ref="D35:D36" si="6">CONCATENATE(A35,$B$34,$C$28)</f>
        <v>KUKAC8000 TunnelTolomatic</v>
      </c>
      <c r="E35" s="25" t="s">
        <v>1741</v>
      </c>
      <c r="F35" s="26">
        <v>1500</v>
      </c>
      <c r="G35" s="26">
        <v>11100</v>
      </c>
      <c r="H35" s="25">
        <v>28330051</v>
      </c>
    </row>
    <row r="36" spans="1:8" ht="15.75" thickBot="1">
      <c r="A36" s="24" t="s">
        <v>1153</v>
      </c>
      <c r="B36" s="1104"/>
      <c r="C36" s="1108"/>
      <c r="D36" s="21" t="str">
        <f t="shared" si="6"/>
        <v>FanucC8000 TunnelTolomatic</v>
      </c>
      <c r="E36" s="20" t="s">
        <v>1741</v>
      </c>
      <c r="F36" s="21">
        <v>1500</v>
      </c>
      <c r="G36" s="275">
        <v>11100</v>
      </c>
      <c r="H36" s="20">
        <v>28330085</v>
      </c>
    </row>
    <row r="37" spans="1:8" ht="15">
      <c r="A37" s="22" t="s">
        <v>1146</v>
      </c>
      <c r="B37" s="1102" t="s">
        <v>1162</v>
      </c>
      <c r="C37" s="1108"/>
      <c r="D37" s="470" t="str">
        <f>CONCATENATE(A37,$B$37,$C$28)</f>
        <v>ABBX100Tolomatic</v>
      </c>
      <c r="E37" s="22" t="s">
        <v>1743</v>
      </c>
      <c r="F37" s="23">
        <v>2000</v>
      </c>
      <c r="G37" s="23">
        <v>14680</v>
      </c>
      <c r="H37" s="22">
        <v>28440187</v>
      </c>
    </row>
    <row r="38" spans="1:8" ht="15">
      <c r="A38" s="25" t="s">
        <v>1155</v>
      </c>
      <c r="B38" s="1103"/>
      <c r="C38" s="1108"/>
      <c r="D38" s="26" t="str">
        <f t="shared" ref="D38:D39" si="7">CONCATENATE(A38,$B$37,$C$28)</f>
        <v>KUKAX100Tolomatic</v>
      </c>
      <c r="E38" s="25" t="s">
        <v>1743</v>
      </c>
      <c r="F38" s="26">
        <v>2000</v>
      </c>
      <c r="G38" s="26">
        <v>14680</v>
      </c>
      <c r="H38" s="25">
        <v>28440189</v>
      </c>
    </row>
    <row r="39" spans="1:8" ht="15.75" thickBot="1">
      <c r="A39" s="24" t="s">
        <v>1153</v>
      </c>
      <c r="B39" s="1104"/>
      <c r="C39" s="1108"/>
      <c r="D39" s="21" t="str">
        <f t="shared" si="7"/>
        <v>FanucX100Tolomatic</v>
      </c>
      <c r="E39" s="20" t="s">
        <v>1743</v>
      </c>
      <c r="F39" s="21">
        <v>2000</v>
      </c>
      <c r="G39" s="21">
        <v>14680</v>
      </c>
      <c r="H39" s="20">
        <v>28440188</v>
      </c>
    </row>
    <row r="40" spans="1:8" ht="15">
      <c r="A40" s="22" t="s">
        <v>1146</v>
      </c>
      <c r="B40" s="1102" t="s">
        <v>1739</v>
      </c>
      <c r="C40" s="1108"/>
      <c r="D40" s="470" t="str">
        <f>CONCATENATE(A40,$B$40,$C$28)</f>
        <v>ABBX125Tolomatic</v>
      </c>
      <c r="E40" s="22" t="s">
        <v>1744</v>
      </c>
      <c r="F40" s="23">
        <v>2500</v>
      </c>
      <c r="G40" s="23">
        <v>24000</v>
      </c>
      <c r="H40" s="23">
        <v>28440192</v>
      </c>
    </row>
    <row r="41" spans="1:8" ht="15">
      <c r="A41" s="466" t="s">
        <v>1155</v>
      </c>
      <c r="B41" s="1103"/>
      <c r="C41" s="1108"/>
      <c r="D41" s="26" t="str">
        <f t="shared" ref="D41:D42" si="8">CONCATENATE(A41,$B$40,$C$28)</f>
        <v>KUKAX125Tolomatic</v>
      </c>
      <c r="E41" s="25" t="s">
        <v>1744</v>
      </c>
      <c r="F41" s="26">
        <v>2500</v>
      </c>
      <c r="G41" s="26">
        <v>24000</v>
      </c>
      <c r="H41" s="26">
        <v>28440191</v>
      </c>
    </row>
    <row r="42" spans="1:8" ht="15.75" thickBot="1">
      <c r="A42" s="20" t="s">
        <v>1153</v>
      </c>
      <c r="B42" s="1104"/>
      <c r="C42" s="1108"/>
      <c r="D42" s="21" t="str">
        <f t="shared" si="8"/>
        <v>FanucX125Tolomatic</v>
      </c>
      <c r="E42" s="20" t="s">
        <v>1744</v>
      </c>
      <c r="F42" s="21">
        <v>2500</v>
      </c>
      <c r="G42" s="21">
        <v>24000</v>
      </c>
      <c r="H42" s="24">
        <v>28440190</v>
      </c>
    </row>
    <row r="43" spans="1:8" ht="15">
      <c r="A43" s="22" t="s">
        <v>1146</v>
      </c>
      <c r="B43" s="1102" t="s">
        <v>1748</v>
      </c>
      <c r="C43" s="1108"/>
      <c r="D43" s="470" t="str">
        <f>CONCATENATE(A43,$B$43,$C$28)</f>
        <v>ABBX125 (Doppelzange)Tolomatic</v>
      </c>
      <c r="E43" s="22" t="s">
        <v>1745</v>
      </c>
      <c r="F43" s="23">
        <v>2500</v>
      </c>
      <c r="G43" s="23">
        <v>24000</v>
      </c>
      <c r="H43" s="23">
        <v>28440213</v>
      </c>
    </row>
    <row r="44" spans="1:8" ht="15">
      <c r="A44" s="466" t="s">
        <v>1155</v>
      </c>
      <c r="B44" s="1103"/>
      <c r="C44" s="1108"/>
      <c r="D44" s="26" t="str">
        <f t="shared" ref="D44:D45" si="9">CONCATENATE(A44,$B$43,$C$28)</f>
        <v>KUKAX125 (Doppelzange)Tolomatic</v>
      </c>
      <c r="E44" s="25" t="s">
        <v>1745</v>
      </c>
      <c r="F44" s="26">
        <v>2500</v>
      </c>
      <c r="G44" s="26">
        <v>24000</v>
      </c>
      <c r="H44" s="26">
        <v>28440212</v>
      </c>
    </row>
    <row r="45" spans="1:8" ht="15.75" thickBot="1">
      <c r="A45" s="20" t="s">
        <v>1153</v>
      </c>
      <c r="B45" s="1104"/>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5:B2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2.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4.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Blatt_1_1500R01</vt:lpstr>
      <vt:lpstr>Punktplan LTVL_4_1500</vt:lpstr>
      <vt:lpstr>Materialliste</vt:lpstr>
      <vt:lpstr>Motordaten</vt:lpstr>
      <vt:lpstr>Hinweise (Notes)</vt:lpstr>
      <vt:lpstr>Änderungshistorie</vt:lpstr>
      <vt:lpstr>'Blatt 0'!Area_de_impressao</vt:lpstr>
      <vt:lpstr>Blatt_1_1500R01!Area_de_impressao</vt:lpstr>
      <vt:lpstr>'Punktplan LTVL_4_1500'!Area_de_impressao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engenharia13</cp:lastModifiedBy>
  <cp:lastPrinted>2021-02-10T14:31:17Z</cp:lastPrinted>
  <dcterms:created xsi:type="dcterms:W3CDTF">1998-02-24T17:42:36Z</dcterms:created>
  <dcterms:modified xsi:type="dcterms:W3CDTF">2023-06-21T20:03:01Z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