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520R01" sheetId="38" r:id="rId2"/>
    <sheet name="Punktplan LTVL_4_152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LTVL_4_1520'!$M$19:$M$32</definedName>
    <definedName name="_xlnm.Print_Area" localSheetId="0">'Blatt 0'!$A$1:$AK$60</definedName>
    <definedName name="_xlnm.Print_Area" localSheetId="1">Blatt_1_1520R01!$A$1:$AK$60</definedName>
    <definedName name="_xlnm.Print_Area" localSheetId="2">'Punktplan LTVL_4_1520'!$A$1:$BB$58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<sst xmlns="http://schemas.openxmlformats.org/spreadsheetml/2006/main" count="2138" uniqueCount="1941">
  <si>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</si>
  <si>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</si>
  <si>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</si>
  <si>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</si>
  <si>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</si>
  <si>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</si>
  <si>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</si>
  <si>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</si>
  <si>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</si>
  <si>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</si>
  <si>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</si>
  <si>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</si>
  <si>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</si>
  <si>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</si>
  <si>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</si>
  <si>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</si>
  <si>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</si>
  <si>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</si>
  <si>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</si>
  <si>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</si>
  <si>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</si>
  <si>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</si>
  <si>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</si>
  <si>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</si>
  <si>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</si>
  <si>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</si>
  <si>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</si>
  <si>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</si>
  <si>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</si>
  <si>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</si>
  <si>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</si>
  <si>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</si>
  <si>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</si>
  <si>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</si>
  <si>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</si>
  <si>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</si>
  <si>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</si>
  <si>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</si>
  <si>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</si>
  <si>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</si>
  <si>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</si>
  <si>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</si>
  <si>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</si>
  <si>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</si>
  <si>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</si>
  <si>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</si>
  <si>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</si>
  <si>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</si>
  <si>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</si>
  <si>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</si>
  <si>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</si>
  <si>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</si>
  <si>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</si>
  <si>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</si>
  <si>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</si>
  <si>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</si>
  <si>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</si>
  <si>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</si>
  <si>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</si>
  <si>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</si>
  <si>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</si>
  <si>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</si>
  <si>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</si>
  <si>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</si>
  <si>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</si>
  <si>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</si>
  <si>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</si>
  <si>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</si>
  <si>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</si>
  <si>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</si>
  <si>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</si>
  <si>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</si>
  <si>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</si>
  <si>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</si>
  <si>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</si>
  <si>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</si>
  <si>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</si>
  <si>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</si>
  <si>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</si>
  <si>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</si>
  <si>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</si>
  <si>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</si>
  <si>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</si>
  <si>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</si>
  <si>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</si>
  <si>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</si>
  <si>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</si>
  <si>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</si>
  <si>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</si>
  <si>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</si>
  <si>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</si>
  <si>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</si>
  <si>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</si>
  <si>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</si>
  <si>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</si>
  <si>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</si>
  <si>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</si>
  <si>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</si>
  <si>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</si>
  <si>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</si>
  <si>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</si>
  <si>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</si>
  <si>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</si>
  <si>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</si>
  <si>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</si>
  <si>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</si>
  <si>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</si>
  <si>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</si>
  <si>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</si>
  <si>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</si>
  <si>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</si>
  <si>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</si>
  <si>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</si>
  <si>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</si>
  <si>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</si>
  <si>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</si>
  <si>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</si>
  <si>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</si>
  <si>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</si>
  <si>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</si>
  <si>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</si>
  <si>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</si>
  <si>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</si>
  <si>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</si>
  <si>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</si>
  <si>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</si>
  <si>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</si>
  <si>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</si>
  <si>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</si>
  <si>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</si>
  <si>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</si>
  <si>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</si>
  <si>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</si>
  <si>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</si>
  <si>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</si>
  <si>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</si>
  <si>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</si>
  <si>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</si>
  <si>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</si>
  <si>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</si>
  <si>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</si>
  <si>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</si>
  <si>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</si>
  <si>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</si>
  <si>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</si>
  <si>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</si>
  <si>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</si>
  <si>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</si>
  <si>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</si>
  <si>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</si>
  <si>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</si>
  <si>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</si>
  <si>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</si>
  <si>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</si>
  <si>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</si>
  <si>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</si>
  <si>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</si>
  <si>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</si>
  <si>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</si>
  <si>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</si>
  <si>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</si>
  <si>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</si>
  <si>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</si>
  <si>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</si>
  <si>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</si>
  <si>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</si>
  <si>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</si>
  <si>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</si>
  <si>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</si>
  <si>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</si>
  <si>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</si>
  <si>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</si>
  <si>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</si>
  <si>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</si>
  <si>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</si>
  <si>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</si>
  <si>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</si>
  <si>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</si>
  <si>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</si>
  <si>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</si>
  <si>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</si>
  <si>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</si>
  <si>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</si>
  <si>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</si>
  <si>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</si>
  <si>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</si>
  <si>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</si>
  <si>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</si>
  <si>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</si>
  <si>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</si>
  <si>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</si>
  <si>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</si>
  <si>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</si>
  <si>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</si>
  <si>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</si>
  <si>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</si>
  <si>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</si>
  <si>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</si>
  <si>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</si>
  <si>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</si>
  <si>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</si>
  <si>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</si>
  <si>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</si>
  <si>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</si>
  <si>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</si>
  <si>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</si>
  <si>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</si>
  <si>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</si>
  <si>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</si>
  <si>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</si>
  <si>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</si>
  <si>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</si>
  <si>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</si>
  <si>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</si>
  <si>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</si>
  <si>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</si>
  <si>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</si>
  <si>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</si>
  <si>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</si>
  <si>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</si>
  <si>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</si>
  <si>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</si>
  <si>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</si>
  <si>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</si>
  <si>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</si>
  <si>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</si>
  <si>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</si>
  <si>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</si>
  <si>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</si>
  <si>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</si>
  <si>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</si>
  <si>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</si>
  <si>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</si>
  <si>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</si>
  <si>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</si>
  <si>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</si>
  <si>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</si>
  <si>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</si>
  <si>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</si>
  <si>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</si>
  <si>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</si>
  <si>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</si>
  <si>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</si>
  <si>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</si>
  <si>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</si>
  <si>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</si>
  <si>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</si>
  <si>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</si>
  <si>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</si>
  <si>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</si>
  <si>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</si>
  <si>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</si>
  <si>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</si>
  <si>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</si>
  <si>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</si>
  <si>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</si>
  <si>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</si>
  <si>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</si>
  <si>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</si>
  <si>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</si>
  <si>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</si>
  <si>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</si>
  <si>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</si>
  <si>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</si>
  <si>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</si>
  <si>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</si>
  <si>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</si>
  <si>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</si>
  <si>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</si>
  <si>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</si>
  <si>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</si>
  <si>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</si>
  <si>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</si>
  <si>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</si>
  <si>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</si>
  <si>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</si>
  <si>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</si>
  <si>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</si>
  <si>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</si>
  <si>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</si>
  <si>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</si>
  <si>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</si>
  <si>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</si>
  <si>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</si>
  <si>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</si>
  <si>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</si>
  <si>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</si>
  <si>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</si>
  <si>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</si>
  <si>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</si>
  <si>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</si>
  <si>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</si>
  <si>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</si>
  <si>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</si>
  <si>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</si>
  <si>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</si>
  <si>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</si>
  <si>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</si>
  <si>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</si>
  <si>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</si>
  <si>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</si>
  <si>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</si>
  <si>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</si>
  <si>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</si>
  <si>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</si>
  <si>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</si>
  <si>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</si>
  <si>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</si>
  <si>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</si>
  <si>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</si>
  <si>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</si>
  <si>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</si>
  <si>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</si>
  <si>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</si>
  <si>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</si>
  <si>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</si>
  <si>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</si>
  <si>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</si>
  <si>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</si>
  <si>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</si>
  <si>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</si>
  <si>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</si>
  <si>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</si>
  <si>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</si>
  <si>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</si>
  <si>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</si>
  <si>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</si>
  <si>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</si>
  <si>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</si>
  <si>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</si>
  <si>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</si>
  <si>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</si>
  <si>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</si>
  <si>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</si>
  <si>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</si>
  <si>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</si>
  <si>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</si>
  <si>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</si>
  <si>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</si>
  <si>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</si>
  <si>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</si>
  <si>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</si>
  <si>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</si>
  <si>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</si>
  <si>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</si>
  <si>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</si>
  <si>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</si>
  <si>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</si>
  <si>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</si>
  <si>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</si>
  <si>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</si>
  <si>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</si>
  <si>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</si>
  <si>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</si>
  <si>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</si>
  <si>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</si>
  <si>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</si>
  <si>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</si>
  <si>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</si>
  <si>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</si>
  <si>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</si>
  <si>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</si>
  <si>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</si>
  <si>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</si>
  <si>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</si>
  <si>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</si>
  <si>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</si>
  <si>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</si>
  <si>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</si>
  <si>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</si>
  <si>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</si>
  <si>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</si>
  <si>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</si>
  <si>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</si>
  <si>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</si>
  <si>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</si>
  <si>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</si>
  <si>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</si>
  <si>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</si>
  <si>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</si>
  <si>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</si>
  <si>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</si>
  <si>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</si>
  <si>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</si>
  <si>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</si>
  <si>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</si>
  <si>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</si>
  <si>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</si>
  <si>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</si>
  <si>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</si>
  <si>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</si>
  <si>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</si>
  <si>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</si>
  <si>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</si>
  <si>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</si>
  <si>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</si>
  <si>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</si>
  <si>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</si>
  <si>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</si>
  <si>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</si>
  <si>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</si>
  <si>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</si>
  <si>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</si>
  <si>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</si>
  <si>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</si>
  <si>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</si>
  <si>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</si>
  <si>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</si>
  <si>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</si>
  <si>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</si>
  <si>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</si>
  <si>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</si>
  <si>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</si>
  <si>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</si>
  <si>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</si>
  <si>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</si>
  <si>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</si>
  <si>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</si>
  <si>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</si>
  <si>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</si>
  <si>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</si>
  <si>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</si>
  <si>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</si>
  <si>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</si>
  <si>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</si>
  <si>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</si>
  <si>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</si>
  <si>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</si>
  <si>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</si>
  <si>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</si>
  <si>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</si>
  <si>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</si>
  <si>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</si>
  <si>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</si>
  <si>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</si>
  <si>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</si>
  <si>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</si>
  <si>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</si>
  <si>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</si>
  <si>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</si>
  <si>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</si>
  <si>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</si>
  <si>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</si>
  <si>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</si>
  <si>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</si>
  <si>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</si>
  <si>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</si>
  <si>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</si>
  <si>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</si>
  <si>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</si>
  <si>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</si>
  <si>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</si>
  <si>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</si>
  <si>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</si>
  <si>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</si>
  <si>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</si>
  <si>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</si>
  <si>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</si>
  <si>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</si>
  <si>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</si>
  <si>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</si>
  <si>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</si>
  <si>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</si>
  <si>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</si>
  <si>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</si>
  <si>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</si>
  <si>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</si>
  <si>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</si>
  <si>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</si>
  <si>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</si>
  <si>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</si>
  <si>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</si>
  <si>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</si>
  <si>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</si>
  <si>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</si>
  <si>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</si>
  <si>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</si>
  <si>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</si>
  <si>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</si>
  <si>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</si>
  <si>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</si>
  <si>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</si>
  <si>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</si>
  <si>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</si>
  <si>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</si>
  <si>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</si>
  <si>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</si>
  <si>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</si>
  <si>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</si>
  <si>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</si>
  <si>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</si>
  <si>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</si>
  <si>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</si>
  <si>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</si>
  <si>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</si>
  <si>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</si>
  <si>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</si>
  <si>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</si>
  <si>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</si>
  <si>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</si>
  <si>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</si>
  <si>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</si>
  <si>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</si>
  <si>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</si>
  <si>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</si>
  <si>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</si>
  <si>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</si>
  <si>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</si>
  <si>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</si>
  <si>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</si>
  <si>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</si>
  <si>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</si>
  <si>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</si>
  <si>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</si>
  <si>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</si>
  <si>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</si>
  <si>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</si>
  <si>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</si>
  <si>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</si>
  <si>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</si>
  <si>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</si>
  <si>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</si>
  <si>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</si>
  <si>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</si>
  <si>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</si>
  <si>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</si>
  <si>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</si>
  <si>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</si>
  <si>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</si>
  <si>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</si>
  <si>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</si>
  <si>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</si>
  <si>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</si>
  <si>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</si>
  <si>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</si>
  <si>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</si>
  <si>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</si>
  <si>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</si>
  <si>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</si>
  <si>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</si>
  <si>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</si>
  <si>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</si>
  <si>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</si>
  <si>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</si>
  <si>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</si>
  <si>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</si>
  <si>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</si>
  <si>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</si>
  <si>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</si>
  <si>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</si>
  <si>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</si>
  <si>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</si>
  <si>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</si>
  <si>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</si>
  <si>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</si>
  <si>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</si>
  <si>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</si>
  <si>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</si>
  <si>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</si>
  <si>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</si>
  <si>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</si>
  <si>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</si>
  <si>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</si>
  <si>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</si>
  <si>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</si>
  <si>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</si>
  <si>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</si>
  <si>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</si>
  <si>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</si>
  <si>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</si>
  <si>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</si>
  <si>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</si>
  <si>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</si>
  <si>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</si>
  <si>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</si>
  <si>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</si>
  <si>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</si>
  <si>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</si>
  <si>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</si>
  <si>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</si>
  <si>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</si>
  <si>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</si>
  <si>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</si>
  <si>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</si>
  <si>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</si>
  <si>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</si>
  <si>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</si>
  <si>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</si>
  <si>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</si>
  <si>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</si>
  <si>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</si>
  <si>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</si>
  <si>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</si>
  <si>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</si>
  <si>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</si>
  <si>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</si>
  <si>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</si>
  <si>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</si>
  <si>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</si>
  <si>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</si>
  <si>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</si>
  <si>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</si>
  <si>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</si>
  <si>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</si>
  <si>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</si>
  <si>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</si>
  <si>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</si>
  <si>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</si>
  <si>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</si>
  <si>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</si>
  <si>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</si>
  <si>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</si>
  <si>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</si>
  <si>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</si>
  <si>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</si>
  <si>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</si>
  <si>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</si>
  <si>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</si>
  <si>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</si>
  <si>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</si>
  <si>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</si>
  <si>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</si>
  <si>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</si>
  <si>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</si>
  <si>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</si>
  <si>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</si>
  <si>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</si>
  <si>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</si>
  <si>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</si>
  <si>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</si>
  <si>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</si>
  <si>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</si>
  <si>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</si>
  <si>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</si>
  <si>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</si>
  <si>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</si>
  <si>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</si>
  <si>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</si>
  <si>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</si>
  <si>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</si>
  <si>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</si>
  <si>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</si>
  <si>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</si>
  <si>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</si>
  <si>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</si>
  <si>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</si>
  <si>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</si>
  <si>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</si>
  <si>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</si>
  <si>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</si>
  <si>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</si>
  <si>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</si>
  <si>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</si>
  <si>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</si>
  <si>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</si>
  <si>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</si>
  <si>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</si>
  <si>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</si>
  <si>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</si>
  <si>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</si>
  <si>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</si>
  <si>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</si>
  <si>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</si>
  <si>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</si>
  <si>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</si>
  <si>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</si>
  <si>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</si>
  <si>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</si>
  <si>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</si>
  <si>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</si>
  <si>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</si>
  <si>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</si>
  <si>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</si>
  <si>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</si>
  <si>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</si>
  <si>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</si>
  <si>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</si>
  <si>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</si>
  <si>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</si>
  <si>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</si>
  <si>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</si>
  <si>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</si>
  <si>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</si>
  <si>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</si>
  <si>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</si>
  <si>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</si>
  <si>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</si>
  <si>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</si>
  <si>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</si>
  <si>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</si>
  <si>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</si>
  <si>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</si>
  <si>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</si>
  <si>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</si>
  <si>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</si>
  <si>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</si>
  <si>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</si>
  <si>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</si>
  <si>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</si>
  <si>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</si>
  <si>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</si>
  <si>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</si>
  <si>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</si>
  <si>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</si>
  <si>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</si>
  <si>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</si>
  <si>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</si>
  <si>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</si>
  <si>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</si>
  <si>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</si>
  <si>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</si>
  <si>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</si>
  <si>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</si>
  <si>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</si>
  <si>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</si>
  <si>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</si>
  <si>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</si>
  <si>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</si>
  <si>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</si>
  <si>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</si>
  <si>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</si>
  <si>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</si>
  <si>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</si>
  <si>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</si>
  <si>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</si>
  <si>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</si>
  <si>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</si>
  <si>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</si>
  <si>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</si>
  <si>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</si>
  <si>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</si>
  <si>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</si>
  <si>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</si>
  <si>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</si>
  <si>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</si>
  <si>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</si>
  <si>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</si>
  <si>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</si>
  <si>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</si>
  <si>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</si>
  <si>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</si>
  <si>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</si>
  <si>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</si>
  <si>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</si>
  <si>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</si>
  <si>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</si>
  <si>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</si>
  <si>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</si>
  <si>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</si>
  <si>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</si>
  <si>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</si>
  <si>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</si>
  <si>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</si>
  <si>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</si>
  <si>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</si>
  <si>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</si>
  <si>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</si>
  <si>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</si>
  <si>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</si>
  <si>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</si>
  <si>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</si>
  <si>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</si>
  <si>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</si>
  <si>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</si>
  <si>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</si>
  <si>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</si>
  <si>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</si>
  <si>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</si>
  <si>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</si>
  <si>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</si>
  <si>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</si>
  <si>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</si>
  <si>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</si>
  <si>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</si>
  <si>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</si>
  <si>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</si>
  <si>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</si>
  <si>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</si>
  <si>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</si>
  <si>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</si>
  <si>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</si>
  <si>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</si>
  <si>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</si>
  <si>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</si>
  <si>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</si>
  <si>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</si>
  <si>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</si>
  <si>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</si>
  <si>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</si>
  <si>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</si>
  <si>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</si>
  <si>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</si>
  <si>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</si>
  <si>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</si>
  <si>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</si>
  <si>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</si>
  <si>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</si>
  <si>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</si>
  <si>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</si>
  <si>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</si>
  <si>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</si>
  <si>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</si>
  <si>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</si>
  <si>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</si>
  <si>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</si>
  <si>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</si>
  <si>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</si>
  <si>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</si>
  <si>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</si>
  <si>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</si>
  <si>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</si>
  <si>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</si>
  <si>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</si>
  <si>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</si>
  <si>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</si>
  <si>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</si>
  <si>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</si>
  <si>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</si>
  <si>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</si>
  <si>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</si>
  <si>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</si>
  <si>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</si>
  <si>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</si>
  <si>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</si>
  <si>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</si>
  <si>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</si>
  <si>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</si>
  <si>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</si>
  <si>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</si>
  <si>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</si>
  <si>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</si>
  <si>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</si>
  <si>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</si>
  <si>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</si>
  <si>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</si>
  <si>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</si>
  <si>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</si>
  <si>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</si>
  <si>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</si>
  <si>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</si>
  <si>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</si>
  <si>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</si>
  <si>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</si>
  <si>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</si>
  <si>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</si>
  <si>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</si>
  <si>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</si>
  <si>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</si>
  <si>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</si>
  <si>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</si>
  <si>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</si>
  <si>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</si>
  <si>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</si>
  <si>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</si>
  <si>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</si>
  <si>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</si>
  <si>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</si>
  <si>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</si>
  <si>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</si>
  <si>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</si>
  <si>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</si>
  <si>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</si>
  <si>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</si>
  <si>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</si>
  <si>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</si>
  <si>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</si>
  <si>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</si>
  <si>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</si>
  <si>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</si>
  <si>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</si>
  <si>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</si>
  <si>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</si>
  <si>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</si>
  <si>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</si>
  <si>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</si>
  <si>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</si>
  <si>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</si>
  <si>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</si>
  <si>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</si>
  <si>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</si>
  <si>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</si>
  <si>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</si>
  <si>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</si>
  <si>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</si>
  <si>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</si>
  <si>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</si>
  <si>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</si>
  <si>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</si>
  <si>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</si>
  <si>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</si>
  <si>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</si>
  <si>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</si>
  <si>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</si>
  <si>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</si>
  <si>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</si>
  <si>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</si>
  <si>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</si>
  <si>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</si>
  <si>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</si>
  <si>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</si>
  <si>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</si>
  <si>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</si>
  <si>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</si>
  <si>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</si>
  <si>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</si>
  <si>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</si>
  <si>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</si>
  <si>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</si>
  <si>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</si>
  <si>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</si>
  <si>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</si>
  <si>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</si>
  <si>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</si>
  <si>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</si>
  <si>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</si>
  <si>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</si>
  <si>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</si>
  <si>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</si>
  <si>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</si>
  <si>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</si>
  <si>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</si>
  <si>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</si>
  <si>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</si>
  <si>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</si>
  <si>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</si>
  <si>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</si>
  <si>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</si>
  <si>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</si>
  <si>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</si>
  <si>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</si>
  <si>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</si>
  <si>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</si>
  <si>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</si>
  <si>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</si>
  <si>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</si>
  <si>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</si>
  <si>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</si>
  <si>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</si>
  <si>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</si>
  <si>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</si>
  <si>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</si>
  <si>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</si>
  <si>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</si>
  <si>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</si>
  <si>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</si>
  <si>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</si>
  <si>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</si>
  <si>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</si>
  <si>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</si>
  <si>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</si>
  <si>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</si>
  <si>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</si>
  <si>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</si>
  <si>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</si>
  <si>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</si>
  <si>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</si>
  <si>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</si>
  <si>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</si>
  <si>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</si>
  <si>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</si>
  <si>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</si>
  <si>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</si>
  <si>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</si>
  <si>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</si>
  <si>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</si>
  <si>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</si>
  <si>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</si>
  <si>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</si>
  <si>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</si>
  <si>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</si>
  <si>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</si>
  <si>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</si>
  <si>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</si>
  <si>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</si>
  <si>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</si>
  <si>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</si>
  <si>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</si>
  <si>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</si>
  <si>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</si>
  <si>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</si>
  <si>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</si>
  <si>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</si>
  <si>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</si>
  <si>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</si>
  <si>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</si>
  <si>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</si>
  <si>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</si>
  <si>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</si>
  <si>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</si>
  <si>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</si>
  <si>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</si>
  <si>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</si>
  <si>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</si>
  <si>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</si>
  <si>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</si>
  <si>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</si>
  <si>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</si>
  <si>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</si>
  <si>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</si>
  <si>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</si>
  <si>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</si>
  <si>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</si>
  <si>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</si>
  <si>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</si>
  <si>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</si>
  <si>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</si>
  <si>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</si>
  <si>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</si>
  <si>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</si>
  <si>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</si>
  <si>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</si>
  <si>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</si>
  <si>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</si>
  <si>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</si>
  <si>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</si>
  <si>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</si>
  <si>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</si>
  <si>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</si>
  <si>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</si>
  <si>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</si>
  <si>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</si>
  <si>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</si>
  <si>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</si>
  <si>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</si>
  <si>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</si>
  <si>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</si>
  <si>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</si>
  <si>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</si>
  <si>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</si>
  <si>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</si>
  <si>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</si>
  <si>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</si>
  <si>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</si>
  <si>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</si>
  <si>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</si>
  <si>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</si>
  <si>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</si>
  <si>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</si>
  <si>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</si>
  <si>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</si>
  <si>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</si>
  <si>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</si>
  <si>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</si>
  <si>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</si>
  <si>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</si>
  <si>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</si>
  <si>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</si>
  <si>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</si>
  <si>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</si>
  <si>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</si>
  <si>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</si>
  <si>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</si>
  <si>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</si>
  <si>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</si>
  <si>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</si>
  <si>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</si>
  <si>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</si>
  <si>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</si>
  <si>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</si>
  <si>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</si>
  <si>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</si>
  <si>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</si>
  <si>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</si>
  <si>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</si>
  <si>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</si>
  <si>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</si>
  <si>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</si>
  <si>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</si>
  <si>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</si>
  <si>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</si>
  <si>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</si>
  <si>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</si>
  <si>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</si>
  <si>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</si>
  <si>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</si>
  <si>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</si>
  <si>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</si>
  <si>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</si>
  <si>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</si>
  <si>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</si>
  <si>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</si>
  <si>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</si>
  <si>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</si>
  <si>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</si>
  <si>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</si>
  <si>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</si>
  <si>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</si>
  <si>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</si>
  <si>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</si>
  <si>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</si>
  <si>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</si>
  <si>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</si>
  <si>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</si>
  <si>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</si>
  <si>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</si>
  <si>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</si>
  <si>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</si>
  <si>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</si>
  <si>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</si>
  <si>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</si>
  <si>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</si>
  <si>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</si>
  <si>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</si>
  <si>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</si>
  <si>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</si>
  <si>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</si>
  <si>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</si>
  <si>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</si>
  <si>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</si>
  <si>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</si>
  <si>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</si>
  <si>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</si>
  <si>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</si>
  <si>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</si>
  <si>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</si>
  <si>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</si>
  <si>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</si>
  <si>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</si>
  <si>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</si>
  <si>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</si>
  <si>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</si>
  <si>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</si>
  <si>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</si>
  <si>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</si>
  <si>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</si>
  <si>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</si>
  <si>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</si>
  <si>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</si>
  <si>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</si>
  <si>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</si>
  <si>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</si>
  <si>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</si>
  <si>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</si>
  <si>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</si>
  <si>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</si>
  <si>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</si>
  <si>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</si>
  <si>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</si>
  <si>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</si>
  <si>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</si>
  <si>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</si>
  <si>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</si>
  <si>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</si>
  <si>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</si>
  <si>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</si>
  <si>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</si>
  <si>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</si>
  <si>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</si>
  <si>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</si>
  <si>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</si>
  <si>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</si>
  <si>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</si>
  <si>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</si>
  <si>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</si>
  <si>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</si>
  <si>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</si>
  <si>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</si>
  <si>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</si>
  <si>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</si>
  <si>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</si>
  <si>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</si>
  <si>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</si>
  <si>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</si>
  <si>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</si>
  <si>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</si>
  <si>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</si>
  <si>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</si>
  <si>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</si>
  <si>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</si>
  <si>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</si>
  <si>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</si>
  <si>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</si>
  <si>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</si>
  <si>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</si>
  <si>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</si>
  <si>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</si>
  <si>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</si>
  <si>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</si>
  <si>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</si>
  <si>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</si>
  <si>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</si>
  <si>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</si>
  <si>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</si>
  <si>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</si>
  <si>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</si>
  <si>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</si>
  <si>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</si>
  <si>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</si>
  <si>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</si>
  <si>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</si>
  <si>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</si>
  <si>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</si>
  <si>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</si>
  <si>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</si>
  <si>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</si>
  <si>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</si>
  <si>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</si>
  <si>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</si>
  <si>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</si>
  <si>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</si>
  <si>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</si>
  <si>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</si>
  <si>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</si>
  <si>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</si>
  <si>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</si>
  <si>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</si>
  <si>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</si>
  <si>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</si>
  <si>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</si>
  <si>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</si>
  <si>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</si>
  <si>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</si>
  <si>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</si>
  <si>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</si>
  <si>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</si>
  <si>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</si>
  <si>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</si>
  <si>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</si>
  <si>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</si>
  <si>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</si>
  <si>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</si>
  <si>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</si>
  <si>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</si>
  <si>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</si>
  <si>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</si>
  <si>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</si>
  <si>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</si>
  <si>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</si>
  <si>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</si>
  <si>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</si>
  <si>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</si>
  <si>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</si>
  <si>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</si>
  <si>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</si>
  <si>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</si>
  <si>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</si>
  <si>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</si>
  <si>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</si>
  <si>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</si>
  <si>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</si>
  <si>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</si>
  <si>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</si>
  <si>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</si>
  <si>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</si>
  <si>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</si>
  <si>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</si>
  <si>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</si>
  <si>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</si>
  <si>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</si>
  <si>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</si>
  <si>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</si>
  <si>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</si>
  <si>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</si>
  <si>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</si>
  <si>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</si>
  <si>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</si>
  <si>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</si>
  <si>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</si>
  <si>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</si>
  <si>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</si>
  <si>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</si>
  <si>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</si>
  <si>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</si>
  <si>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</si>
  <si>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</si>
  <si>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</si>
  <si>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</si>
  <si>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</si>
  <si>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</si>
  <si>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</si>
  <si>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</si>
  <si>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</si>
  <si>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</si>
  <si>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</si>
  <si>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</si>
  <si>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</si>
  <si>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</si>
  <si>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</si>
  <si>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</si>
  <si>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</si>
  <si>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</si>
  <si>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</si>
  <si>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</si>
  <si>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</si>
  <si>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</si>
  <si>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</si>
  <si>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</si>
  <si>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</si>
  <si>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</si>
  <si>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</si>
  <si>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</si>
  <si>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</si>
  <si>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</si>
  <si>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</si>
  <si>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</si>
  <si>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</si>
  <si>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</si>
  <si>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</si>
  <si>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</si>
  <si>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</si>
  <si>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</si>
  <si>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</si>
  <si>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</si>
  <si>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</si>
  <si>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</si>
  <si>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</si>
  <si>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</si>
  <si>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</si>
  <si>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</si>
  <si>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</si>
  <si>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</si>
  <si>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</si>
  <si>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</si>
  <si>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</si>
  <si>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</si>
  <si>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</si>
  <si>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</si>
  <si>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</si>
  <si>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</si>
  <si>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</si>
  <si>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</si>
  <si>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</si>
  <si>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</si>
  <si>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</si>
  <si>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</si>
  <si>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</si>
  <si>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</si>
  <si>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</si>
  <si>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</si>
  <si>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</si>
  <si>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</si>
  <si>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</si>
  <si>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</si>
  <si>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</si>
  <si>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</si>
  <si>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</si>
  <si>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</si>
  <si>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</si>
  <si>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</si>
  <si>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</si>
  <si>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</si>
  <si>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</si>
  <si>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</si>
  <si>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</si>
  <si>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</si>
  <si>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</si>
  <si>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</si>
  <si>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</si>
  <si>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</si>
  <si>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</si>
  <si>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</si>
  <si>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</si>
  <si>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</si>
  <si>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</si>
  <si>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</si>
  <si>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</si>
  <si>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</si>
  <si>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</si>
  <si>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</si>
  <si>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</si>
  <si>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</si>
  <si>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</si>
  <si>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</si>
  <si>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</si>
  <si>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</si>
  <si>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</si>
  <si>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</si>
  <si>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</si>
  <si>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</si>
  <si>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</si>
  <si>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</si>
  <si>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</si>
  <si>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</si>
  <si>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</si>
  <si>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</si>
  <si>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</si>
  <si>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</si>
  <si>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</si>
  <si>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</si>
  <si>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</si>
  <si>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</si>
  <si>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</si>
  <si>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</si>
  <si>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</si>
  <si>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</si>
  <si>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</si>
  <si>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</si>
  <si>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</si>
  <si>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</si>
  <si>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</si>
  <si>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</si>
  <si>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</si>
  <si>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</si>
  <si>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</si>
  <si>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</si>
  <si>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</si>
  <si>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</si>
  <si>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</si>
  <si>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</si>
  <si>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</si>
  <si>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</si>
  <si>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</si>
  <si>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</si>
  <si>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</si>
  <si>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</si>
  <si>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</si>
  <si>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</si>
  <si>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</si>
  <si>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</si>
  <si>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</si>
  <si>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</si>
  <si>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</si>
  <si>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</si>
  <si>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</si>
  <si>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</si>
  <si>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</si>
  <si>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</si>
  <si>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</si>
  <si>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</si>
  <si>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</si>
  <si>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</si>
  <si>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</si>
  <si>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</si>
  <si>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</si>
  <si>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</si>
  <si>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</si>
  <si>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</si>
  <si>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</si>
  <si>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</si>
  <si>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</si>
  <si>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</si>
  <si>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</si>
  <si>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</si>
  <si>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</si>
  <si>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</si>
  <si>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</si>
  <si>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</si>
  <si>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</si>
  <si>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</si>
  <si>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</si>
  <si>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</si>
  <si>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</si>
  <si>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</si>
  <si>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</si>
  <si>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</si>
  <si>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</si>
  <si>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</si>
  <si>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</si>
  <si>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</si>
  <si>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</si>
  <si>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</si>
  <si>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</si>
  <si>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</si>
  <si>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</si>
  <si>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</si>
  <si>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</si>
  <si>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</si>
  <si>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</si>
  <si>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</si>
  <si>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</si>
  <si>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</si>
  <si>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</si>
  <si>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</si>
  <si>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</si>
  <si>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</si>
  <si>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</si>
  <si>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</si>
  <si>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</si>
  <si>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</si>
  <si>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</si>
  <si>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</si>
  <si>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</si>
  <si>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</si>
  <si>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</si>
  <si>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</si>
  <si>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</si>
  <si>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</si>
  <si>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</si>
  <si>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</si>
  <si>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</si>
  <si>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</si>
  <si>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</si>
  <si>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</si>
  <si>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</si>
  <si>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</si>
  <si>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</si>
  <si>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</si>
  <si>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</si>
  <si>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</si>
  <si>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</si>
  <si>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</si>
  <si>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</si>
  <si>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</si>
  <si>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</si>
  <si>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</si>
  <si>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</si>
  <si>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</si>
  <si>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</si>
  <si>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</si>
  <si>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</si>
  <si>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</si>
  <si>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</si>
  <si>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</si>
  <si>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</si>
  <si>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</si>
  <si>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</si>
  <si>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</si>
  <si>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</si>
  <si>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</si>
  <si>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</si>
  <si>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</si>
  <si>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</si>
  <si>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</si>
  <si>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</si>
  <si>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</si>
  <si>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</si>
  <si>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</si>
  <si>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</si>
  <si>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</si>
  <si>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</si>
  <si>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</si>
  <si>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</si>
  <si>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</si>
  <si>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</si>
  <si>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</si>
  <si>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</si>
  <si>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</si>
  <si>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</si>
  <si>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</si>
  <si>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</si>
  <si>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</si>
  <si>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</si>
  <si>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</si>
  <si>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</si>
  <si>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</si>
  <si>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</si>
  <si>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</si>
  <si>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</si>
  <si>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</si>
  <si>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</si>
  <si>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</si>
  <si>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</si>
  <si>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</si>
  <si>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</si>
  <si>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</si>
  <si>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</si>
  <si>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</si>
  <si>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</si>
  <si>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</si>
  <si>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</si>
  <si>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</si>
  <si>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</si>
  <si>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</si>
  <si>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</si>
  <si>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</si>
  <si>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</si>
  <si>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</si>
  <si>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</si>
  <si>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</si>
  <si>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</si>
  <si>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</si>
  <si>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</si>
  <si>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</si>
  <si>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</si>
  <si>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</si>
  <si>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</si>
  <si>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</si>
  <si>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</si>
  <si>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</si>
  <si>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</si>
  <si>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</si>
  <si>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</si>
  <si>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</si>
  <si>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</si>
  <si>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</si>
  <si>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</si>
  <si>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</si>
  <si>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</si>
  <si>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</si>
  <si>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</si>
  <si>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</si>
  <si>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</si>
  <si>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</si>
  <si>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</si>
  <si>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</si>
  <si>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</si>
  <si>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</si>
  <si>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</si>
  <si>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</si>
  <si>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</si>
  <si>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</si>
  <si>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</si>
  <si>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</si>
  <si>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</si>
  <si>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</si>
  <si>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</si>
  <si>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</si>
  <si>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</si>
  <si>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</si>
  <si>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</si>
  <si>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</si>
  <si>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</si>
  <si>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</si>
  <si>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</si>
  <si>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</si>
  <si>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</si>
  <si>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</si>
  <si>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</si>
  <si>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</si>
  <si>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</si>
  <si>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</si>
  <si>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</si>
  <si>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</si>
  <si>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</si>
  <si>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</si>
  <si>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</si>
  <si>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</si>
  <si>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</si>
  <si>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</si>
  <si>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</si>
  <si>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</si>
  <si>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</si>
  <si>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</si>
  <si>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</si>
  <si>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</si>
  <si>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</si>
  <si>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</si>
  <si>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</si>
  <si>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</si>
  <si>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</si>
  <si>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</si>
  <si>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</si>
  <si>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</si>
  <si>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</si>
  <si>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</si>
  <si>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</si>
  <si>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</si>
  <si>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</si>
  <si>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</si>
  <si>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</si>
  <si>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</si>
  <si>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</si>
  <si>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</si>
  <si>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</si>
  <si>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</si>
  <si>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</si>
  <si>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</si>
  <si>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</si>
  <si>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</si>
  <si>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</si>
  <si>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</si>
  <si>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</si>
  <si>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</si>
  <si>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</si>
  <si>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</si>
  <si>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</si>
  <si>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</si>
  <si>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</si>
  <si>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</si>
  <si>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</si>
  <si>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</si>
  <si>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</si>
  <si>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</si>
  <si>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</si>
  <si>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</si>
  <si>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</si>
  <si>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</si>
  <si>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</si>
  <si>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</si>
  <si>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</si>
  <si>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</si>
  <si>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</si>
  <si>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</si>
  <si>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</si>
  <si>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</si>
  <si>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</si>
  <si>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</si>
  <si>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</si>
  <si>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</si>
  <si>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</si>
  <si>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</si>
  <si>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</si>
  <si>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</si>
  <si>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</si>
  <si>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</si>
  <si>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</si>
  <si>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</si>
  <si>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</si>
  <si>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</si>
  <si>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</si>
  <si>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</si>
  <si>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</si>
  <si>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</si>
  <si>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</si>
  <si>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</si>
  <si>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</si>
  <si>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</si>
  <si>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</si>
  <si>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</si>
  <si>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</si>
  <si>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</si>
  <si>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</si>
  <si>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</si>
  <si>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</si>
  <si>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</si>
  <si>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</si>
  <si>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</si>
  <si>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</si>
  <si>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</si>
  <si>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</si>
  <si>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</si>
  <si>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</si>
  <si>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</si>
  <si>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</si>
  <si>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</si>
  <si>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</si>
  <si>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</si>
  <si>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</si>
  <si>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</si>
  <si>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</si>
  <si>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</si>
  <si>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</si>
  <si>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</si>
  <si>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</si>
  <si>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</si>
  <si>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</si>
  <si>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</si>
  <si>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</si>
  <si>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</si>
  <si>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</si>
  <si>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</si>
  <si>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</si>
  <si>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</si>
  <si>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</si>
  <si>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</si>
  <si>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</si>
  <si>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</si>
  <si>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</si>
  <si>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</si>
  <si>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</si>
  <si>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</si>
  <si>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</si>
  <si>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</si>
  <si>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</si>
  <si>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</si>
  <si>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</si>
  <si>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</si>
  <si>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</si>
  <si>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</si>
  <si>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</si>
  <si>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</si>
  <si>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</si>
  <si>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</si>
  <si>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</si>
  <si>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</si>
  <si>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</si>
  <si>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</si>
  <si>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</si>
  <si>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</si>
  <si>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</si>
  <si>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</si>
  <si>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</si>
  <si>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</si>
  <si>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</si>
  <si>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</si>
  <si>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</si>
  <si>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</si>
  <si>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</si>
  <si>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</si>
  <si>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</si>
  <si>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</si>
  <si>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</si>
  <si>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</si>
  <si>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</si>
  <si>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</si>
  <si>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</si>
  <si>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</si>
  <si>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</si>
  <si>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</si>
  <si>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</si>
  <si>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</si>
  <si>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</si>
  <si>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</si>
  <si>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</si>
  <si>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</si>
  <si>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</si>
  <si>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</si>
  <si>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</si>
  <si>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</si>
  <si>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</si>
  <si>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</si>
  <si>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</si>
  <si>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</si>
  <si>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</si>
  <si>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</si>
  <si>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</si>
  <si>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</si>
  <si>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</si>
  <si>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</si>
  <si>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</si>
  <si>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</si>
  <si>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</si>
  <si>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</si>
  <si>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</si>
  <si>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</si>
  <si>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</si>
  <si>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</si>
  <si>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</si>
  <si>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</si>
  <si>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</si>
  <si>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</si>
  <si>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</si>
  <si>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</si>
  <si>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</si>
  <si>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</si>
  <si>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</si>
  <si>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</si>
  <si>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</si>
  <si>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</si>
  <si>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</si>
  <si>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</si>
  <si>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</si>
  <si>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</si>
  <si>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</si>
  <si>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</si>
  <si>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</si>
  <si>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</si>
  <si>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</si>
  <si>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</si>
  <si>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</si>
  <si>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</si>
  <si>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</si>
  <si>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</si>
  <si>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</si>
  <si>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</si>
  <si>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</si>
  <si>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</si>
  <si>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</si>
  <si>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</si>
  <si>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</si>
  <si>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</si>
  <si>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</si>
  <si>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</si>
  <si>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</si>
  <si>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</si>
  <si>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</si>
  <si>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</si>
  <si>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</si>
  <si>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</si>
  <si>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</si>
  <si>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</si>
  <si>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</si>
  <si>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</si>
  <si>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</si>
  <si>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</si>
  <si>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</si>
  <si>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</si>
  <si>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</si>
  <si>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</si>
  <si>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</si>
  <si>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</si>
  <si>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</si>
  <si>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</si>
  <si>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</si>
  <si>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</si>
  <si>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</si>
  <si>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</si>
  <si>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</si>
  <si>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</si>
  <si>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</si>
  <si>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</si>
  <si>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</si>
  <si>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</si>
  <si>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</si>
  <si>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</si>
  <si>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</si>
  <si>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</si>
  <si>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</si>
  <si>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</si>
  <si>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</si>
  <si>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</si>
  <si>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</si>
  <si>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</si>
  <si>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</si>
  <si>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</si>
  <si>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</si>
  <si>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</si>
  <si>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</si>
  <si>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</si>
  <si>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</si>
  <si>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</si>
  <si>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</si>
  <si>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</si>
  <si>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</si>
  <si>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</si>
  <si>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</si>
  <si>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</si>
  <si>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</si>
  <si>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</si>
  <si>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</si>
  <si>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</si>
  <si>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</si>
  <si>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</si>
  <si>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</si>
  <si>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</si>
  <si>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</si>
  <si>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</si>
  <si>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</si>
  <si>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</si>
  <si>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</si>
  <si>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</si>
  <si>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</si>
  <si>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</si>
  <si>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</si>
  <si>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</si>
  <si>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</si>
  <si>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</si>
  <si>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</si>
  <si>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</si>
  <si>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</si>
  <si>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</si>
  <si>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</si>
  <si>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</si>
  <si>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</si>
  <si>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</si>
  <si>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</si>
  <si>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</si>
  <si>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</si>
  <si>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</si>
  <si>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5QA.803.107</t>
  </si>
  <si>
    <t>X</t>
  </si>
  <si>
    <t>5qa802035b_021_vps0001_L</t>
  </si>
  <si>
    <t>KJLTVL411520R01</t>
  </si>
  <si>
    <t>5QA.805.757</t>
  </si>
  <si>
    <t>5qa802035b_021_vps0002_L</t>
  </si>
  <si>
    <t>5qa802035b_049_axps0002_L</t>
  </si>
  <si>
    <t>5Q0.810.063</t>
  </si>
  <si>
    <t>5qa802035b_017_rps0014_L</t>
  </si>
  <si>
    <t>ST1520</t>
  </si>
  <si>
    <t>66-59D367395</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</si>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</sst>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1520R01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294368</xdr:colOff>
      <xdr:row>42</xdr:row>
      <xdr:rowOff>0</xdr:rowOff>
    </xdr:from>
    <xdr:to>
      <xdr:col>9</xdr:col>
      <xdr:colOff>19908</xdr:colOff>
      <xdr:row>48</xdr:row>
      <xdr:rowOff>190500</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a:off x="834118" y="9334500"/>
          <a:ext cx="3186290" cy="1524000"/>
        </a:xfrm>
        <a:prstGeom prst="rect">
          <a:avLst/>
        </a:prstGeom>
      </xdr:spPr>
    </xdr:pic>
    <xdr:clientData/>
  </xdr:twoCellAnchor>
  <xdr:twoCellAnchor editAs="oneCell">
    <xdr:from>
      <xdr:col>9</xdr:col>
      <xdr:colOff>278493</xdr:colOff>
      <xdr:row>11</xdr:row>
      <xdr:rowOff>111125</xdr:rowOff>
    </xdr:from>
    <xdr:to>
      <xdr:col>32</xdr:col>
      <xdr:colOff>604143</xdr:colOff>
      <xdr:row>37</xdr:row>
      <xdr:rowOff>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4278993" y="2555875"/>
          <a:ext cx="11692150" cy="5667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4"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1520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1938</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1927</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K58" sqref="K5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1520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ST1520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3"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Bodyshop</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Spot Welding</v>
      </c>
      <c r="D4" s="774"/>
      <c r="E4" s="774"/>
      <c r="F4" s="774"/>
      <c r="G4" s="774"/>
      <c r="H4" s="774"/>
      <c r="I4" s="774"/>
      <c r="J4" s="774"/>
      <c r="K4" s="774"/>
      <c r="L4" s="775"/>
      <c r="M4" s="1048" t="str">
        <f>IF($E$6="DE","Zeichnungsstand:","Dwg release:")</f>
        <v>Dwg release:</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Electrode Cap</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1176</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1940</v>
      </c>
      <c r="U6" s="1060"/>
      <c r="V6" s="1060"/>
      <c r="W6" s="1060"/>
      <c r="X6" s="1060"/>
      <c r="Y6" s="1060"/>
      <c r="Z6" s="1060"/>
      <c r="AA6" s="1060"/>
      <c r="AB6" s="1060"/>
      <c r="AC6" s="1060"/>
      <c r="AD6" s="1060"/>
      <c r="AE6" s="1060"/>
      <c r="AF6" s="1060"/>
      <c r="AG6" s="1061"/>
      <c r="AH6" s="703" t="str">
        <f>IF($E$6="DE","Sonderelektrode (manuelle Auswahl)","Special Electrode Cap (manual selection)")</f>
        <v>Special Electrode Cap (manual selection)</v>
      </c>
      <c r="AI6" s="704"/>
      <c r="AJ6" s="705"/>
      <c r="AK6" s="728" t="str">
        <f>IF($E$6="DE","Sonderfräsmesser (manuelle Auswahl)","Special Tip-Dresser (manual selection)")</f>
        <v>Special Tip-Dresser (manual selection)</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Twin-Spot-Gun (J=Yes/N=No)</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Welding-Spot Number (Index)</v>
      </c>
      <c r="D9" s="779" t="str">
        <f>IF($E$6="DE","Punkt- Name                                                   (FE - Bezeichnung)","Welding-Spot Number                                              (FE - designition)")</f>
        <v>Welding-Spot Number                                              (FE - designition)</v>
      </c>
      <c r="E9" s="782" t="str">
        <f>IF($E$6="DE","Schweißkoffer","Welding case-No.")</f>
        <v>Welding case-No.</v>
      </c>
      <c r="F9" s="782" t="str">
        <f>IF($E$6="DE","Schweißen durch Rob. IR .. /                                Werker WA ..","Welding with Rob. IR ... /                    Worker WR No …")</f>
        <v>Welding with Rob. IR ... /                    Worker WR No …</v>
      </c>
      <c r="G9" s="782" t="str">
        <f>IF($E$6="DE","Schweißzangen-Typ","Weldgun - Type")</f>
        <v>Weldgun - Type</v>
      </c>
      <c r="H9" s="785" t="str">
        <f>IF($E$6="DE","Schweißzangen-Nr.","Weldgun drawing No.")</f>
        <v>Weldgun drawing No.</v>
      </c>
      <c r="I9" s="788" t="str">
        <f>IF($E$6="DE","Trafo","Weld-Transformer")</f>
        <v>Weld-Transformer</v>
      </c>
      <c r="J9" s="791" t="str">
        <f>IF($E$6="DE","Netzlinien","Car Netline")</f>
        <v>Car Netline</v>
      </c>
      <c r="K9" s="792"/>
      <c r="L9" s="793"/>
      <c r="M9" s="791" t="str">
        <f>IF($E$6="DE","Blechpaarung","Sheet metal stack")</f>
        <v>Sheet metal stack</v>
      </c>
      <c r="N9" s="792"/>
      <c r="O9" s="794"/>
      <c r="P9" s="770" t="str">
        <f>IF($E$6="DE","Blechdicke / Werkstoff","Sheet Thickness / Material")</f>
        <v>Sheet Thickness / Material</v>
      </c>
      <c r="Q9" s="771"/>
      <c r="R9" s="771"/>
      <c r="S9" s="771"/>
      <c r="T9" s="771"/>
      <c r="U9" s="771"/>
      <c r="V9" s="771"/>
      <c r="W9" s="771"/>
      <c r="X9" s="772"/>
      <c r="Y9" s="450"/>
      <c r="Z9" s="1069" t="str">
        <f>IF($E$6="DE","Zwischenrechnung","theoretical Values")</f>
        <v>theoretical Values</v>
      </c>
      <c r="AA9" s="1070"/>
      <c r="AB9" s="1071"/>
      <c r="AC9" s="681" t="str">
        <f>IF($E$6="DE","Schweißparameter","Welding Parameters")</f>
        <v>Welding Parameters</v>
      </c>
      <c r="AD9" s="681"/>
      <c r="AE9" s="682"/>
      <c r="AF9" s="1037" t="str">
        <f>IF($E$6="DE","Anforderung","Requirement")</f>
        <v>Requirement</v>
      </c>
      <c r="AG9" s="1038"/>
      <c r="AH9" s="699" t="str">
        <f>IF($E$6="DE","benötigte Elektrodenkappen für Schweißpunkt","required Electrode Caps for Spot")</f>
        <v>required Electrode Caps for Spot</v>
      </c>
      <c r="AI9" s="700"/>
      <c r="AJ9" s="700"/>
      <c r="AK9" s="701"/>
      <c r="AL9" s="702"/>
      <c r="AM9" s="709" t="str">
        <f>IF($E$6="DE","Bemerkung","Comments")</f>
        <v>Comments</v>
      </c>
      <c r="AN9" s="710"/>
      <c r="AO9" s="699" t="str">
        <f>IF($E$6="DE","Schweißpunkte gültig für folgende Typen:","Welding Spots valid for the following Types")</f>
        <v>Welding Spots valid for the following Types</v>
      </c>
      <c r="AP9" s="700"/>
      <c r="AQ9" s="700"/>
      <c r="AR9" s="700"/>
      <c r="AS9" s="700"/>
      <c r="AT9" s="700"/>
      <c r="AU9" s="700"/>
      <c r="AV9" s="700"/>
      <c r="AW9" s="700"/>
      <c r="AX9" s="700"/>
      <c r="AY9" s="700"/>
      <c r="AZ9" s="700"/>
      <c r="BA9" s="700"/>
      <c r="BB9" s="727"/>
      <c r="BC9" s="282"/>
      <c r="BD9" s="282"/>
      <c r="BE9" s="282"/>
      <c r="BF9" s="282"/>
      <c r="BH9" s="306" t="s">
        <v>1724</v>
      </c>
      <c r="BI9" s="306" t="b">
        <f>(COUNTIF(G19:G43,"x"))&gt;0</f>
        <v>1</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Part drawing no</v>
      </c>
      <c r="N10" s="805"/>
      <c r="O10" s="805"/>
      <c r="P10" s="746" t="s">
        <v>57</v>
      </c>
      <c r="Q10" s="965" t="str">
        <f>IF($E$6="DE","Werkstoff 1","Material 1")</f>
        <v>Material 1</v>
      </c>
      <c r="R10" s="939" t="str">
        <f>IF($E$6="DE","Streckgrenze Re 1","Yield strength Re 1")</f>
        <v>Yield strength Re 1</v>
      </c>
      <c r="S10" s="989" t="s">
        <v>58</v>
      </c>
      <c r="T10" s="965" t="str">
        <f>IF($E$6="DE","Werkstoff 2","Material 2")</f>
        <v>Material 2</v>
      </c>
      <c r="U10" s="939" t="str">
        <f>IF($E$6="DE","Streckgrenze Re 2","Yield strength Re 2")</f>
        <v>Yield strength Re 2</v>
      </c>
      <c r="V10" s="989" t="s">
        <v>59</v>
      </c>
      <c r="W10" s="965" t="str">
        <f>IF($E$6="DE","Werkstoff 3","Material 3")</f>
        <v>Material 3</v>
      </c>
      <c r="X10" s="939" t="str">
        <f>IF($E$6="DE","Streckgrenze Re 3","Yield strength Re 3")</f>
        <v>Yield strength Re 3</v>
      </c>
      <c r="Y10" s="987" t="str">
        <f>IF($E$6="DE","Klebstoff (J/N)","Adhesive (J=Yes /N=No)")</f>
        <v>Adhesive (J=Yes /N=No)</v>
      </c>
      <c r="Z10" s="1072" t="str">
        <f>IF($E$6="DE","Vergleichsblechdicke tv","Ref. Thickness tv")</f>
        <v>Ref. Thickness tv</v>
      </c>
      <c r="AA10" s="984" t="str">
        <f>IF($E$6="DE","Zuschlag Streckgrenze ","Yield strength surcharge")</f>
        <v>Yield strength surcharge</v>
      </c>
      <c r="AB10" s="686" t="str">
        <f>IF($E$6="DE","Schweißkraft inkl. Klebstoff (Zangenauslegung)","Welding Force incl. Adhesive (Gun Calculation)")</f>
        <v>Welding Force incl. Adhesive (Gun Calculation)</v>
      </c>
      <c r="AC10" s="1066" t="str">
        <f>IF($E$6="DE","Schweißstrom","Welding Current")</f>
        <v>Welding Current</v>
      </c>
      <c r="AD10" s="692" t="str">
        <f>IF($E$6="DE","Schweißzeit","Welding Time")</f>
        <v>Welding Time</v>
      </c>
      <c r="AE10" s="686" t="str">
        <f>IF($E$6="DE","Schweißkraft incl. Klebstoff u.  bei VW50066/TL4225- Material außen","Welding Force incl. adhesive and VW50066/TL4225-Material outside")</f>
        <v>Welding Force incl. adhesive and VW50066/TL4225-Material outside</v>
      </c>
      <c r="AF10" s="683" t="str">
        <f>IF($E$6="DE","Linsendurchmesser dn min (Blech 1 - Blech 2)","Nuggetdiameter dn min (Sheet 1 - Sheet 2)")</f>
        <v>Nuggetdiameter dn min (Sheet 1 - Sheet 2)</v>
      </c>
      <c r="AG10" s="686" t="str">
        <f>IF($E$6="DE","Linsendurchmesser dn min (Blech 2 - Blech 3)","Nuggetdiameter dn min (Sheet 2 - Sheet 3)")</f>
        <v>Nuggetdiameter dn min (Sheet 2 - Sheet 3)</v>
      </c>
      <c r="AH10" s="683" t="str">
        <f>IF($E$6="DE","Elektroden-kappen","Electrode Cap")</f>
        <v>Electrode Cap</v>
      </c>
      <c r="AI10" s="692" t="str">
        <f>IF($E$6="DE"," Arbeitsflächendurchm. für Elektrode an Blech 1 (AF1)","Electrode Tip Diameter                       on Sheet 1 (AF1)")</f>
        <v>Electrode Tip Diameter                       on Sheet 1 (AF1)</v>
      </c>
      <c r="AJ10" s="692" t="str">
        <f>IF($E$6="DE","Arbeitsflächenradius für Elektrode an Blech 1 (R1)","Electrode Tip Radius                    on Sheet 1 (R1)")</f>
        <v>Electrode Tip Radius                    on Sheet 1 (R1)</v>
      </c>
      <c r="AK10" s="1057" t="str">
        <f>IF($E$6="DE","Arbeitsflächendurchm. für Elektrode an Blech 2/3 (AF2/3)","Electrode Tip Diameter                      on Sheet 2/3 (AF2/3)")</f>
        <v>Electrode Tip Diameter                      on Sheet 2/3 (AF2/3)</v>
      </c>
      <c r="AL10" s="1013" t="str">
        <f>IF($E$6="DE","Arbeitsflächenradius für Elektrode an Blech 2/3 (R2/3)","Electrode Tip Radius                   on Sheet 2 (R2/3)")</f>
        <v>Electrode Tip Radius                   on Sheet 2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7.1012399999999998</v>
      </c>
      <c r="D19" s="308" t="s">
        <v>1931</v>
      </c>
      <c r="E19" s="309" t="s">
        <v>1188</v>
      </c>
      <c r="F19" s="310" t="s">
        <v>1932</v>
      </c>
      <c r="G19" s="336" t="s">
        <v>1930</v>
      </c>
      <c r="H19" s="311" t="s">
        <v>1939</v>
      </c>
      <c r="I19" s="478" t="s">
        <v>1188</v>
      </c>
      <c r="J19" s="312">
        <v>-337.28</v>
      </c>
      <c r="K19" s="313">
        <v>-556.11</v>
      </c>
      <c r="L19" s="314">
        <v>333.61</v>
      </c>
      <c r="M19" s="315" t="s">
        <v>1933</v>
      </c>
      <c r="N19" s="316" t="s">
        <v>1929</v>
      </c>
      <c r="O19" s="317" t="s">
        <v>1188</v>
      </c>
      <c r="P19" s="502">
        <v>1.2</v>
      </c>
      <c r="Q19" s="320" t="s">
        <v>1638</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1.3</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2.9641333333333337</v>
      </c>
      <c r="AC19" s="322">
        <f>IF(AND(BT19="J",OR(G19="C",G19="X")),39,IF(AND(BT19="N",OR(G19="C",G19="X")),IF(Z19="BLECH?","",IF(AND(BX19=TRUE,BZ19=TRUE),IF(Z19&lt;=2,((1.13*Z19+7.1+BY19)+(1.13*Z19+7.1+CA19))/2*BW19,((1.5*Z19+5.8+BY19)+(1.5*Z19+5.8+CA19))/2*BW19),IF(Z19&lt;=2,(1.13*Z19+7.1+BY19+CA19)*BW19,(1.5*Z19+5.8+BY19+CA19)*BW19))),IF(OR(G19="B",G19="S"),6,IF(G19="R",7,IF(AND(G19="M",BT19="N"),4.3,IF(AND(G19="M",BT19="J"),"21",""))))))</f>
        <v>8.5689999999999991</v>
      </c>
      <c r="AD19" s="323">
        <f t="shared" ref="AD19:AD25" si="1">IF(OR(ISBLANK(G19),Z19="BLECH?"),"",IF(AND(BT19="J",G19="C"),60,IF(G19="B",60,IF(G19="R",150,IF(G19="S",90,IF(AND(G19="m",BT19="n"),350,IF(AND(G19="m",BT19="j"),50,MAX(MIN((((P19+S19+V19-1.4)*(600/4.6))+200)+BU19,900),200))))))))</f>
        <v>395.6521739130435</v>
      </c>
      <c r="AE19" s="324">
        <f>IF(AND(BT19="J",OR(G19="C",G19="X")),AB19*1,IF(OR(G19="C",G19="X"),AB19*BV19,IF(ISBLANK(G19),AB19,AB19*1)))</f>
        <v>2.9641333333333337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3.8340579025361627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CR440Y780T-DH-EG12/12</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1.7</v>
      </c>
      <c r="BN19" s="475">
        <f>LARGE(BO19:BQ19,2)</f>
        <v>1.2</v>
      </c>
      <c r="BO19" s="474">
        <f t="shared" ref="BO19:BO43" si="7">P19</f>
        <v>1.2</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7.1012500000000003</v>
      </c>
      <c r="D20" s="333" t="s">
        <v>1934</v>
      </c>
      <c r="E20" s="334" t="s">
        <v>1188</v>
      </c>
      <c r="F20" s="335" t="s">
        <v>1932</v>
      </c>
      <c r="G20" s="336" t="s">
        <v>1930</v>
      </c>
      <c r="H20" s="337" t="s">
        <v>1939</v>
      </c>
      <c r="I20" s="479" t="s">
        <v>1188</v>
      </c>
      <c r="J20" s="338">
        <v>-358.32</v>
      </c>
      <c r="K20" s="339">
        <v>-582.69000000000005</v>
      </c>
      <c r="L20" s="340">
        <v>335.7</v>
      </c>
      <c r="M20" s="341" t="s">
        <v>1933</v>
      </c>
      <c r="N20" s="342" t="s">
        <v>1929</v>
      </c>
      <c r="O20" s="343" t="s">
        <v>1188</v>
      </c>
      <c r="P20" s="319">
        <v>1.2</v>
      </c>
      <c r="Q20" s="320" t="s">
        <v>1638</v>
      </c>
      <c r="R20" s="344">
        <f>IF(AND(ISBLANK(P20),ISTEXT(Q20)),"t1?",IF(AND(ISBLANK(Q20),ISBLANK(P20)),"",VLOOKUP(BH20,Materialliste!$A$2:$B$1615,2,FALSE)))</f>
        <v>550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1.3</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2.9641333333333337</v>
      </c>
      <c r="AC20" s="348">
        <f t="shared" ref="AC20:AC43" si="13">IF(AND(BT20="J",OR(G20="C",G20="X")),39,IF(OR(G20="C",G20="X"),IF(Z20="BLECH?","",IF(AND(BX20=TRUE,BZ20=TRUE),IF(Z20&lt;=2,((1.13*Z20+7.1+BY20)+(1.13*Z20+7.1+CA20))/2*BW20,((1.5*Z20+5.8+BY20)+(1.5*Z20+5.8+CA20))/2*BW20),IF(Z20&lt;=2,(1.13*Z20+7.1+BY20+CA20)*BW20,(1.5*Z20+5.8+BY20+CA20)*BW20))),IF(OR(G20="B",G20="S"),6,IF(G20="R",7,IF(AND(G20="M",BT20="N"),4.3,IF(AND(G20="M",BT20="J"),"21",""))))))</f>
        <v>8.5689999999999991</v>
      </c>
      <c r="AD20" s="323">
        <f t="shared" si="1"/>
        <v>395.6521739130435</v>
      </c>
      <c r="AE20" s="349">
        <f t="shared" ref="AE20:AE43" si="14">IF(AND(BT20="J",OR(G20="C",G20="X")),AB20*1,IF(OR(G20="C",G20="X"),AB20*BV20,IF(ISBLANK(G20),AB20,AB20*1)))</f>
        <v>2.9641333333333337</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3.8340579025361627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CR440Y780T-DH-EG12/12</v>
      </c>
      <c r="BI20" s="473" t="str">
        <f t="shared" si="4"/>
        <v>CR440Y780T-DP-GI40/40</v>
      </c>
      <c r="BJ20" s="473">
        <f t="shared" si="5"/>
        <v>0</v>
      </c>
      <c r="BM20" s="474">
        <f t="shared" si="6"/>
        <v>1.7</v>
      </c>
      <c r="BN20" s="475">
        <f t="shared" ref="BN20:BN43" si="22">LARGE(BO20:BQ20,2)</f>
        <v>1.2</v>
      </c>
      <c r="BO20" s="474">
        <f t="shared" si="7"/>
        <v>1.2</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7.1012599999999999</v>
      </c>
      <c r="D21" s="333" t="s">
        <v>1935</v>
      </c>
      <c r="E21" s="334" t="s">
        <v>1188</v>
      </c>
      <c r="F21" s="335" t="s">
        <v>1932</v>
      </c>
      <c r="G21" s="336" t="s">
        <v>1930</v>
      </c>
      <c r="H21" s="337" t="s">
        <v>1939</v>
      </c>
      <c r="I21" s="479" t="s">
        <v>1188</v>
      </c>
      <c r="J21" s="338">
        <v>-151.32</v>
      </c>
      <c r="K21" s="339">
        <v>-509.71</v>
      </c>
      <c r="L21" s="340">
        <v>293.75</v>
      </c>
      <c r="M21" s="341" t="s">
        <v>1928</v>
      </c>
      <c r="N21" s="342" t="s">
        <v>1936</v>
      </c>
      <c r="O21" s="343" t="s">
        <v>1929</v>
      </c>
      <c r="P21" s="319">
        <v>2.1</v>
      </c>
      <c r="Q21" s="320" t="s">
        <v>1001</v>
      </c>
      <c r="R21" s="355">
        <f>IF(AND(ISBLANK(P21),ISTEXT(Q21)),"t1?",IF(AND(ISBLANK(Q21),ISBLANK(P21)),"",VLOOKUP(BH21,Materialliste!$A$2:$B$1615,2,FALSE)))</f>
        <v>550</v>
      </c>
      <c r="S21" s="319">
        <v>2.5</v>
      </c>
      <c r="T21" s="320" t="s">
        <v>600</v>
      </c>
      <c r="U21" s="355">
        <f>IF(AND(ISBLANK(S21),ISTEXT(T21)),"t2?",IF(AND(ISBLANK(T21),ISBLANK(S21)),"",VLOOKUP(BI21,Materialliste!$A$2:$B$1615,2,FALSE)))</f>
        <v>350</v>
      </c>
      <c r="V21" s="319">
        <v>1</v>
      </c>
      <c r="W21" s="320" t="s">
        <v>1004</v>
      </c>
      <c r="X21" s="355">
        <f>IF(AND(ISBLANK(V21),ISTEXT(W21)),"t3?",IF(AND(ISBLANK(W21),ISBLANK(V21)),"",VLOOKUP(BJ21,Materialliste!$A$2:$B$1615,2,FALSE)))</f>
        <v>550</v>
      </c>
      <c r="Y21" s="443" t="s">
        <v>1925</v>
      </c>
      <c r="Z21" s="346">
        <f t="shared" si="0"/>
        <v>2.1800000000000002</v>
      </c>
      <c r="AA21" s="347">
        <f t="shared" si="11"/>
        <v>1.1196969696969696</v>
      </c>
      <c r="AB21" s="454">
        <f t="shared" si="12"/>
        <v>4.6570090909090913</v>
      </c>
      <c r="AC21" s="348">
        <f t="shared" si="13"/>
        <v>9.9700000000000006</v>
      </c>
      <c r="AD21" s="323">
        <f t="shared" si="1"/>
        <v>747.82608695652164</v>
      </c>
      <c r="AE21" s="349">
        <f t="shared" si="14"/>
        <v>4.6570090909090913</v>
      </c>
      <c r="AF21" s="480">
        <f t="shared" si="15"/>
        <v>5.0719818611663037</v>
      </c>
      <c r="AG21" s="482">
        <f t="shared" si="16"/>
        <v>3.5</v>
      </c>
      <c r="AH21" s="461" t="str">
        <f t="shared" si="2"/>
        <v>39D 1978-2</v>
      </c>
      <c r="AI21" s="350">
        <f t="shared" si="17"/>
        <v>8</v>
      </c>
      <c r="AJ21" s="350">
        <f t="shared" si="18"/>
        <v>50</v>
      </c>
      <c r="AK21" s="350">
        <f t="shared" si="19"/>
        <v>8</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t="str">
        <f t="shared" si="5"/>
        <v>CR440Y780T-DP-GI40/40</v>
      </c>
      <c r="BM21" s="474">
        <f t="shared" si="6"/>
        <v>2.5</v>
      </c>
      <c r="BN21" s="475">
        <f t="shared" si="22"/>
        <v>2.1</v>
      </c>
      <c r="BO21" s="474">
        <f t="shared" si="7"/>
        <v>2.1</v>
      </c>
      <c r="BP21" s="474">
        <f t="shared" si="8"/>
        <v>2.5</v>
      </c>
      <c r="BQ21" s="474">
        <f t="shared" si="9"/>
        <v>1</v>
      </c>
      <c r="BR21" s="330"/>
      <c r="BS21" s="298" t="b">
        <f t="shared" si="23"/>
        <v>0</v>
      </c>
      <c r="BT21" s="282" t="str">
        <f>_xlfn.IFNA(IF(MATCH(Q21,Materialliste!$A$1563:$A$1615,0)&gt;=1,"J"),"N")</f>
        <v>N</v>
      </c>
      <c r="BU21" s="298">
        <f t="shared" si="24"/>
        <v>0</v>
      </c>
      <c r="BV21" s="298">
        <f t="shared" si="25"/>
        <v>1</v>
      </c>
      <c r="BW21" s="298">
        <f t="shared" si="26"/>
        <v>1</v>
      </c>
      <c r="BX21" s="298" t="b">
        <f t="shared" si="10"/>
        <v>1</v>
      </c>
      <c r="BY21" s="298">
        <f t="shared" si="27"/>
        <v>0.9</v>
      </c>
      <c r="BZ21" s="298" t="b">
        <f t="shared" si="28"/>
        <v>0</v>
      </c>
      <c r="CA21" s="298">
        <f t="shared" si="29"/>
        <v>0</v>
      </c>
      <c r="CB21" s="331"/>
      <c r="CH21" s="306" t="str">
        <f t="shared" si="30"/>
        <v>39D 1978-2</v>
      </c>
      <c r="CL21" s="306" t="str">
        <f t="shared" si="31"/>
        <v>39D 1978-2</v>
      </c>
    </row>
    <row r="22" spans="1:90" ht="33" customHeight="1">
      <c r="A22" s="922"/>
      <c r="B22" s="281"/>
      <c r="C22" s="332">
        <v>7.1012700000000004</v>
      </c>
      <c r="D22" s="333" t="s">
        <v>1937</v>
      </c>
      <c r="E22" s="334" t="s">
        <v>1188</v>
      </c>
      <c r="F22" s="335" t="s">
        <v>1932</v>
      </c>
      <c r="G22" s="336" t="s">
        <v>1930</v>
      </c>
      <c r="H22" s="337" t="s">
        <v>1939</v>
      </c>
      <c r="I22" s="479" t="s">
        <v>1188</v>
      </c>
      <c r="J22" s="338">
        <v>-124.22</v>
      </c>
      <c r="K22" s="339">
        <v>-507.1</v>
      </c>
      <c r="L22" s="340">
        <v>290.54000000000002</v>
      </c>
      <c r="M22" s="341" t="s">
        <v>1928</v>
      </c>
      <c r="N22" s="342" t="s">
        <v>1929</v>
      </c>
      <c r="O22" s="343" t="s">
        <v>1188</v>
      </c>
      <c r="P22" s="319">
        <v>2.1</v>
      </c>
      <c r="Q22" s="320" t="s">
        <v>1001</v>
      </c>
      <c r="R22" s="355">
        <f>IF(AND(ISBLANK(P22),ISTEXT(Q22)),"t1?",IF(AND(ISBLANK(Q22),ISBLANK(P22)),"",VLOOKUP(BH22,Materialliste!$A$2:$B$1615,2,FALSE)))</f>
        <v>550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2"/>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Sheet?</v>
      </c>
      <c r="AA23" s="347" t="str">
        <f t="shared" si="11"/>
        <v>?Re</v>
      </c>
      <c r="AB23" s="454" t="str">
        <f t="shared" si="12"/>
        <v>Adhesive?</v>
      </c>
      <c r="AC23" s="348" t="str">
        <f t="shared" si="13"/>
        <v/>
      </c>
      <c r="AD23" s="323" t="str">
        <f t="shared" si="1"/>
        <v/>
      </c>
      <c r="AE23" s="349" t="str">
        <f t="shared" si="14"/>
        <v>Adhesive?</v>
      </c>
      <c r="AF23" s="480" t="str">
        <f t="shared" si="15"/>
        <v/>
      </c>
      <c r="AG23" s="482" t="str">
        <f t="shared" si="16"/>
        <v/>
      </c>
      <c r="AH23" s="461" t="str">
        <f t="shared" si="2"/>
        <v/>
      </c>
      <c r="AI23" s="350" t="str">
        <f t="shared" si="17"/>
        <v/>
      </c>
      <c r="AJ23" s="350" t="str">
        <f t="shared" si="18"/>
        <v/>
      </c>
      <c r="AK23" s="350" t="str">
        <f t="shared" si="19"/>
        <v/>
      </c>
      <c r="AL23" s="351" t="str">
        <f t="shared" si="20"/>
        <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922"/>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2"/>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Cylinder Diameter (mm)              (only for SPZ)</v>
      </c>
      <c r="D44" s="821"/>
      <c r="E44" s="823"/>
      <c r="F44" s="818" t="str">
        <f>IF($E$6="DE","Schweißkraft min. [N]","Welding Force min. [N]")</f>
        <v>Welding Force min. [N]</v>
      </c>
      <c r="G44" s="819"/>
      <c r="H44" s="411">
        <f>IF(AND(AN45="JA",ISTEXT(AG47),ISNUMBER(AL47)),(IF(G6="RZ",ROUNDDOWN(MIN(AE19:AE43)*1000,-2),IF(G6="SPZ",ROUNDDOWN(MIN(AE19:AE43)*1000,-2),"Zangentyp?"))),(IF(G6="RZ",ROUNDDOWN(MIN(AB19:AB43)*1000,-2),IF(G6="SPZ",ROUNDDOWN(MIN(AB19:AB43)*1000,-2),"Zangentyp?"))))</f>
        <v>2900</v>
      </c>
      <c r="I44" s="818" t="str">
        <f>IF($E$6="DE","Ausladung [mm]","Distance to Tip [mm]")</f>
        <v>Distance to Tip [mm]</v>
      </c>
      <c r="J44" s="834"/>
      <c r="K44" s="833"/>
      <c r="L44" s="412"/>
      <c r="M44" s="818" t="str">
        <f>IF($E$6="DE","Zylinderkraft min. [N]","Cyl. Force min. [N]")</f>
        <v>Cyl. Force min. [N]</v>
      </c>
      <c r="N44" s="833"/>
      <c r="O44" s="413" t="e">
        <f>IF(G8="J",(H44/L46)*2,H44/L46)</f>
        <v>#DIV/0!</v>
      </c>
      <c r="P44" s="818" t="str">
        <f>IF($E$6="DE","Zylinderdruck min. [bar]","Cyl. Pressure min. [bar]")</f>
        <v>Cyl. Pressure min. [bar]</v>
      </c>
      <c r="Q44" s="833"/>
      <c r="R44" s="982" t="e">
        <f>10*O44/(H46*E46)</f>
        <v>#DIV/0!</v>
      </c>
      <c r="S44" s="983"/>
      <c r="T44" s="1001" t="str">
        <f>IF(AND($E$6="DE",G6="RZ"),"Ergebnis Zangen-/Motorauslegung",IF(AND($E$6="ENG",G6="RZ"),"Result Gun/Motor Design",IF(AND($E$6="DE",G6="SPZ"),"Ergebnis zwischen 1,0 bar und 10 bar:",IF(AND($E$6="ENG",G6="SPZ"),"Result between 1,0 bar and 10 bar:","-"))))</f>
        <v>Result between 1,0 bar and 10 bar:</v>
      </c>
      <c r="U44" s="1002"/>
      <c r="V44" s="1002"/>
      <c r="W44" s="1003"/>
      <c r="X44" s="946" t="str">
        <f>IF($E$6="DE","benötigte Elektrodenkappen für Schweißzange","required Electrode Caps for Gun")</f>
        <v>required Electrode Caps for Gun</v>
      </c>
      <c r="Y44" s="947"/>
      <c r="Z44" s="948"/>
      <c r="AA44" s="1012" t="str">
        <f>IF($E$6="DE","benötigtes Fräsmesser","required Tip Dresser")</f>
        <v>required Tip Dresser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 of Indices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Welding Force max. [N]</v>
      </c>
      <c r="G45" s="826"/>
      <c r="H45" s="414">
        <f>IF(AND(AN45="Ja",ISTEXT(AG47),ISNUMBER(AL47)),(IF(ROUNDUP(MAX(AE19:AE43)*2300,-3)&gt;5000,(ROUNDUP(MAX(AE19:AE43)*2300,-3)/2),2500)),(IF(ROUNDUP(MAX(AB19:AB43)*2200,-3)&gt;5000,(ROUNDUP(MAX(AB19:AB43)*2200,-3)/2),IF(BL9=TRUE,1100,2500))))</f>
        <v>5500</v>
      </c>
      <c r="I45" s="825" t="str">
        <f>IF(G6="RZ",IF($E$6="DE","Abstand Motor [mm]","Distance to Motor [mm]"),IF($E$6="DE","Abstand Zylinder [mm]","Distance to Cylinder [mm]"))</f>
        <v>Distance to Cylinder [mm]</v>
      </c>
      <c r="J45" s="835"/>
      <c r="K45" s="826"/>
      <c r="L45" s="415"/>
      <c r="M45" s="827" t="str">
        <f>IF($E$6="DE","Zylinderkraft max.[N]","Cyl. Force max.[N]")</f>
        <v>Cyl. Force max.[N]</v>
      </c>
      <c r="N45" s="828"/>
      <c r="O45" s="416" t="e">
        <f>IF(G8="J",(H45/L46)*2,H45/L46)</f>
        <v>#DIV/0!</v>
      </c>
      <c r="P45" s="827" t="str">
        <f>IF($E$6="DE","Zylinderdruck max. [bar]","Cyl. Pressure max. [bar]")</f>
        <v>Cyl. Pressure max. [bar]</v>
      </c>
      <c r="Q45" s="828"/>
      <c r="R45" s="980" t="e">
        <f>10*O45/(H46*E46)</f>
        <v>#DIV/0!</v>
      </c>
      <c r="S45" s="981"/>
      <c r="T45" s="1009" t="str">
        <f>IF(G6="RZ",BH49,IF(G6="SPZ",BH46,IF(G6="-","Zangentyp/Guntype?")))</f>
        <v>Max. Force of Gun acc.Drw.exceeded</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Cylinder Efficiency                                  (only for SPZ)</v>
      </c>
      <c r="D46" s="828"/>
      <c r="E46" s="416">
        <v>0.95</v>
      </c>
      <c r="F46" s="827" t="str">
        <f>IF($E$6="DE","Zylinderfläche [mm²] (nur für SPZ)","Cylinder Surface [mm²] (only for SPZ)")</f>
        <v>Cylinder Surface [mm²] (only for SPZ)</v>
      </c>
      <c r="G46" s="828"/>
      <c r="H46" s="420">
        <f>IF(E45="T",2*PI()/4*POWER(E44,2),PI()/4*POWER(E44,2))</f>
        <v>0</v>
      </c>
      <c r="I46" s="974" t="str">
        <f>IF($E$6="DE","Ausladung/ Abstand","Leverage Ratio")</f>
        <v>Leverage Ratio</v>
      </c>
      <c r="J46" s="975"/>
      <c r="K46" s="976"/>
      <c r="L46" s="421" t="e">
        <f>IF(G19="X",L45/L44,1)</f>
        <v>#DIV/0!</v>
      </c>
      <c r="M46" s="829" t="str">
        <f>IF($E$6="DE","notwendige Motorkraft min. [N]","requiered Motor Force min. [N]")</f>
        <v>requiered Motor Force min. [N]</v>
      </c>
      <c r="N46" s="830"/>
      <c r="O46" s="422" t="e">
        <f>IF(G8="J",(H44/L46)*2,H44/L46)</f>
        <v>#DIV/0!</v>
      </c>
      <c r="P46" s="829" t="str">
        <f>IF($E$6="DE","erreichbare Motorkraft min. [N]","feasible Motor Force min. [N]")</f>
        <v>feasible Motor Force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2"/>
      <c r="BJ46" s="279" t="s">
        <v>1708</v>
      </c>
    </row>
    <row r="47" spans="1:90" ht="42.75" customHeight="1" thickBot="1">
      <c r="A47" s="922"/>
      <c r="B47" s="281"/>
      <c r="C47" s="816" t="str">
        <f>IF($E$6="DE","Roboterhersteller                                          (nur für RZ)","Robot Supplier                                  (only for RZ)")</f>
        <v>Robot Supplier                                  (only for RZ)</v>
      </c>
      <c r="D47" s="817"/>
      <c r="E47" s="427"/>
      <c r="F47" s="816" t="str">
        <f>IF($E$6="DE","Zangengrundkörper               (nur für RZ)","Weld Gun Basic Body (only for RZ)")</f>
        <v>Weld Gun Basic Body (only for RZ)</v>
      </c>
      <c r="G47" s="817"/>
      <c r="H47" s="427"/>
      <c r="I47" s="977" t="str">
        <f>IF($E$6="DE","Motorhersteller                           (nur für RZ)","Motor Supplier                        (only for RZ)")</f>
        <v>Motor Supplier                        (only for RZ)</v>
      </c>
      <c r="J47" s="978"/>
      <c r="K47" s="979"/>
      <c r="L47" s="427"/>
      <c r="M47" s="831" t="str">
        <f>IF($E$6="DE","notwendige Motorkraft max. [N]","requiered Motor Force max. [N]")</f>
        <v>requiered Motor Force max. [N]</v>
      </c>
      <c r="N47" s="832"/>
      <c r="O47" s="428" t="e">
        <f>IF(G8="J",(H45/L46)*2,H45/L46)</f>
        <v>#DIV/0!</v>
      </c>
      <c r="P47" s="831" t="str">
        <f>IF($E$6="DE","erreichbare Motorkraft max. [N]"," feasible  Motor Force max. [N]")</f>
        <v xml:space="preserve"> feasible  Motor Force max. [N]</v>
      </c>
      <c r="Q47" s="832"/>
      <c r="R47" s="993" t="str">
        <f>IF(ISNA(VLOOKUP(CONCATENATE(E47,H47,L47),Motordaten!D3:H45,4,FALSE)),"",VLOOKUP(CONCATENATE(E47,H47,L47),Motordaten!D3:H45,4,FALSE))</f>
        <v/>
      </c>
      <c r="S47" s="994"/>
      <c r="T47" s="998" t="str">
        <f>IF($E$6="DE","Max.Elektrodenkraft lt.Zeichnung[N]","Max.Electrode-Force acc.to Drw.[N]")</f>
        <v>Max.Electrode-Force acc.to Drw.[N]</v>
      </c>
      <c r="U47" s="999"/>
      <c r="V47" s="1000"/>
      <c r="W47" s="429">
        <v>5000</v>
      </c>
      <c r="X47" s="892" t="str">
        <f>IF($E$6="DE","Motorbezeichnung:","Designation of Motor")</f>
        <v>Designation of Motor</v>
      </c>
      <c r="Y47" s="893"/>
      <c r="Z47" s="894"/>
      <c r="AA47" s="892" t="str">
        <f>_xlfn.IFNA(VLOOKUP(CONCATENATE(E47,H47,L47),Motordaten!D3:H45,2,FALSE),IF(E6="DE","Kein Motortyp gefunden","no motortype found"))</f>
        <v>no motortype found</v>
      </c>
      <c r="AB47" s="893"/>
      <c r="AC47" s="893"/>
      <c r="AD47" s="894"/>
      <c r="AE47" s="741" t="str">
        <f>IF(E6="DE", "Name:                         (Abteilung)","Name                        (Dept.)")</f>
        <v>Name                        (Dept.)</v>
      </c>
      <c r="AF47" s="742"/>
      <c r="AG47" s="883"/>
      <c r="AH47" s="884"/>
      <c r="AI47" s="885"/>
      <c r="AJ47" s="879" t="str">
        <f>IF(E6="DE", "Datum","Date")</f>
        <v>Date</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1520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ST1520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e">
        <f>IF(O46&lt;R46,IF(E6="DE","Rücksprache Prozessmethodik","consult Process Methodology")," ")</f>
        <v>#DIV/0!</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8" priority="426" stopIfTrue="1" operator="equal">
      <formula>"Ergebnis des Druckbereichs i.O."</formula>
    </cfRule>
    <cfRule type="cellIs" dxfId="147" priority="427" stopIfTrue="1" operator="equal">
      <formula>"Ergebnis des Druckbereichs nicht i.O."</formula>
    </cfRule>
  </conditionalFormatting>
  <conditionalFormatting sqref="BH47">
    <cfRule type="cellIs" dxfId="146" priority="424" stopIfTrue="1" operator="equal">
      <formula>" "</formula>
    </cfRule>
    <cfRule type="cellIs" dxfId="145" priority="425" stopIfTrue="1" operator="equal">
      <formula>"Rücksprache Prozessmethodik"</formula>
    </cfRule>
  </conditionalFormatting>
  <conditionalFormatting sqref="X46">
    <cfRule type="cellIs" dxfId="144" priority="418" stopIfTrue="1" operator="notEqual">
      <formula>"39D 1978-2"</formula>
    </cfRule>
    <cfRule type="containsText" dxfId="143" priority="419" stopIfTrue="1" operator="containsText" text="39D 1978-2">
      <formula>NOT(ISERROR(SEARCH("39D 1978-2",X46)))</formula>
    </cfRule>
    <cfRule type="expression" priority="420" stopIfTrue="1">
      <formula>1</formula>
    </cfRule>
  </conditionalFormatting>
  <conditionalFormatting sqref="AA46">
    <cfRule type="cellIs" dxfId="142" priority="417" stopIfTrue="1" operator="notEqual">
      <formula>6</formula>
    </cfRule>
  </conditionalFormatting>
  <conditionalFormatting sqref="AB46">
    <cfRule type="cellIs" dxfId="141" priority="416" stopIfTrue="1" operator="notEqual">
      <formula>50</formula>
    </cfRule>
  </conditionalFormatting>
  <conditionalFormatting sqref="AC46">
    <cfRule type="cellIs" dxfId="140" priority="415" stopIfTrue="1" operator="notEqual">
      <formula>6</formula>
    </cfRule>
  </conditionalFormatting>
  <conditionalFormatting sqref="AD46">
    <cfRule type="cellIs" dxfId="139" priority="412" stopIfTrue="1" operator="notEqual">
      <formula>50</formula>
    </cfRule>
  </conditionalFormatting>
  <conditionalFormatting sqref="CB19:CB43">
    <cfRule type="cellIs" dxfId="138" priority="437" stopIfTrue="1" operator="equal">
      <formula>$AC$19</formula>
    </cfRule>
  </conditionalFormatting>
  <conditionalFormatting sqref="G19:G43">
    <cfRule type="expression" dxfId="137" priority="411" stopIfTrue="1">
      <formula>OR(AND(ISNUMBER($P19),ISBLANK($G19)),AND(ISTEXT($G19),ISBLANK($P19)))</formula>
    </cfRule>
  </conditionalFormatting>
  <conditionalFormatting sqref="BH46">
    <cfRule type="cellIs" dxfId="136" priority="395" operator="equal">
      <formula>"pressure level not allowed"</formula>
    </cfRule>
    <cfRule type="cellIs" dxfId="135" priority="396" operator="equal">
      <formula>"presure level allowed"</formula>
    </cfRule>
    <cfRule type="cellIs" dxfId="134" priority="397" operator="equal">
      <formula>"Max. Force of gun acc.Drw.exceeded!"</formula>
    </cfRule>
    <cfRule type="cellIs" dxfId="133" priority="407" stopIfTrue="1" operator="equal">
      <formula>"Zangenkraft lt.Zangenzeichnung überschritten!"</formula>
    </cfRule>
  </conditionalFormatting>
  <conditionalFormatting sqref="AE19:AE43">
    <cfRule type="expression" dxfId="132" priority="403">
      <formula>ISERROR(AE19)</formula>
    </cfRule>
  </conditionalFormatting>
  <conditionalFormatting sqref="BH47">
    <cfRule type="cellIs" dxfId="131" priority="394" operator="equal">
      <formula>"consult process methodology"</formula>
    </cfRule>
  </conditionalFormatting>
  <conditionalFormatting sqref="W47">
    <cfRule type="expression" dxfId="130" priority="438" stopIfTrue="1">
      <formula>ISBLANK($W$47)</formula>
    </cfRule>
  </conditionalFormatting>
  <conditionalFormatting sqref="G6">
    <cfRule type="cellIs" dxfId="129" priority="393" operator="equal">
      <formula>"-"</formula>
    </cfRule>
  </conditionalFormatting>
  <conditionalFormatting sqref="H44">
    <cfRule type="cellIs" dxfId="128" priority="392" operator="equal">
      <formula>"Zangentyp?"</formula>
    </cfRule>
  </conditionalFormatting>
  <conditionalFormatting sqref="BH49">
    <cfRule type="cellIs" dxfId="127" priority="390" stopIfTrue="1" operator="equal">
      <formula>"Zangen/Motorauslegung i.O."</formula>
    </cfRule>
    <cfRule type="cellIs" dxfId="126" priority="391" stopIfTrue="1" operator="equal">
      <formula>"Zangen/Motorauslegung nicht i.O."</formula>
    </cfRule>
  </conditionalFormatting>
  <conditionalFormatting sqref="BH49 BJ49:BK49">
    <cfRule type="cellIs" dxfId="125" priority="384" operator="equal">
      <formula>"Gun/Electromotor Design not O.K."</formula>
    </cfRule>
    <cfRule type="cellIs" dxfId="124" priority="385" operator="equal">
      <formula>"Gun/Electromotor Design O.K."</formula>
    </cfRule>
    <cfRule type="cellIs" dxfId="123" priority="386" operator="equal">
      <formula>"incorrect Gun Type/Gun Body/Gun Measure"</formula>
    </cfRule>
    <cfRule type="cellIs" dxfId="122" priority="387" operator="equal">
      <formula>"Max. Force of Gun acc.Drw.exceeded!"</formula>
    </cfRule>
    <cfRule type="cellIs" dxfId="121" priority="388" operator="equal">
      <formula>"max. Zangenkraft lt.Zeichnung überschritten!"</formula>
    </cfRule>
    <cfRule type="cellIs" dxfId="120" priority="389" stopIfTrue="1" operator="equal">
      <formula>"Zangentyp/-grundkörper/-maße falsch"</formula>
    </cfRule>
  </conditionalFormatting>
  <conditionalFormatting sqref="BH50">
    <cfRule type="cellIs" dxfId="119" priority="382" stopIfTrue="1" operator="equal">
      <formula>" "</formula>
    </cfRule>
    <cfRule type="cellIs" dxfId="118" priority="383" stopIfTrue="1" operator="equal">
      <formula>"Rücksprache Prozessmethodik"</formula>
    </cfRule>
  </conditionalFormatting>
  <conditionalFormatting sqref="T46">
    <cfRule type="cellIs" dxfId="117" priority="372" stopIfTrue="1" operator="equal">
      <formula>" "</formula>
    </cfRule>
    <cfRule type="cellIs" dxfId="116" priority="373" stopIfTrue="1" operator="equal">
      <formula>"Rücksprache Prozessmethodik"</formula>
    </cfRule>
  </conditionalFormatting>
  <conditionalFormatting sqref="T46">
    <cfRule type="cellIs" dxfId="115" priority="371" operator="equal">
      <formula>"consult process methodology"</formula>
    </cfRule>
  </conditionalFormatting>
  <conditionalFormatting sqref="T45">
    <cfRule type="cellIs" dxfId="114" priority="369" stopIfTrue="1" operator="equal">
      <formula>"Zangen/Motorauslegung i.O."</formula>
    </cfRule>
    <cfRule type="cellIs" dxfId="113" priority="370" stopIfTrue="1" operator="equal">
      <formula>"Zangen/Motorauslegung nicht i.O."</formula>
    </cfRule>
  </conditionalFormatting>
  <conditionalFormatting sqref="T45:W45">
    <cfRule type="cellIs" dxfId="112" priority="329" operator="equal">
      <formula>"Zangentyp/Guntype?"</formula>
    </cfRule>
    <cfRule type="cellIs" dxfId="111" priority="359" operator="equal">
      <formula>"Pressure level not allowed"</formula>
    </cfRule>
    <cfRule type="cellIs" dxfId="110" priority="360" operator="equal">
      <formula>"Presure level allowed"</formula>
    </cfRule>
    <cfRule type="cellIs" dxfId="109" priority="361" operator="equal">
      <formula>"Ergebnis des Druckbereichs nicht i.O."</formula>
    </cfRule>
    <cfRule type="cellIs" dxfId="108" priority="362" operator="equal">
      <formula>"Ergebnis des Druckbereichs i.O."</formula>
    </cfRule>
    <cfRule type="cellIs" dxfId="107" priority="363" operator="equal">
      <formula>"Gun/Electromotor Design not O.K."</formula>
    </cfRule>
    <cfRule type="cellIs" dxfId="106" priority="364" operator="equal">
      <formula>"Gun/Electromotor Design O.K."</formula>
    </cfRule>
    <cfRule type="cellIs" dxfId="105" priority="365" operator="equal">
      <formula>"incorrect Gun Type/Gun Body/Gun Measure"</formula>
    </cfRule>
    <cfRule type="cellIs" dxfId="104" priority="366" operator="equal">
      <formula>"Max. Force of Gun acc.Drw.exceeded!"</formula>
    </cfRule>
    <cfRule type="cellIs" dxfId="103" priority="367" operator="equal">
      <formula>"max. Zangenkraft lt.Zeichnung überschritten!"</formula>
    </cfRule>
    <cfRule type="cellIs" dxfId="102" priority="368" stopIfTrue="1" operator="equal">
      <formula>"Zangentyp/-grundkörper/-maße falsch"</formula>
    </cfRule>
  </conditionalFormatting>
  <conditionalFormatting sqref="E47">
    <cfRule type="expression" dxfId="101" priority="358">
      <formula>$G$6="SPZ"</formula>
    </cfRule>
  </conditionalFormatting>
  <conditionalFormatting sqref="E44">
    <cfRule type="expression" dxfId="100" priority="351">
      <formula>$G$6="RZ"</formula>
    </cfRule>
  </conditionalFormatting>
  <conditionalFormatting sqref="E46">
    <cfRule type="expression" dxfId="99" priority="212">
      <formula>$G$6="RZ"</formula>
    </cfRule>
  </conditionalFormatting>
  <conditionalFormatting sqref="L44">
    <cfRule type="expression" dxfId="98" priority="298">
      <formula>ISERR($L$46)</formula>
    </cfRule>
  </conditionalFormatting>
  <conditionalFormatting sqref="L45">
    <cfRule type="expression" dxfId="97" priority="297">
      <formula>ISERR($L$46)</formula>
    </cfRule>
  </conditionalFormatting>
  <conditionalFormatting sqref="Y19">
    <cfRule type="expression" dxfId="96" priority="279">
      <formula>ISERR(AE19)</formula>
    </cfRule>
  </conditionalFormatting>
  <conditionalFormatting sqref="Y20:Y43">
    <cfRule type="expression" dxfId="95" priority="278">
      <formula>ISERR(AE20)</formula>
    </cfRule>
  </conditionalFormatting>
  <conditionalFormatting sqref="S41:S43">
    <cfRule type="expression" dxfId="94" priority="269">
      <formula>$U41="t2?"</formula>
    </cfRule>
  </conditionalFormatting>
  <conditionalFormatting sqref="AN45:AN46">
    <cfRule type="cellIs" dxfId="93" priority="235" operator="equal">
      <formula>"Ja"</formula>
    </cfRule>
  </conditionalFormatting>
  <conditionalFormatting sqref="AE45:AE46">
    <cfRule type="expression" dxfId="92" priority="442">
      <formula>AN45="Ja"</formula>
    </cfRule>
  </conditionalFormatting>
  <conditionalFormatting sqref="AE47">
    <cfRule type="expression" dxfId="91" priority="443">
      <formula>AND(AN45="Ja",ISBLANK($AG$47))</formula>
    </cfRule>
  </conditionalFormatting>
  <conditionalFormatting sqref="AJ47">
    <cfRule type="expression" dxfId="90" priority="444">
      <formula>AND(AN45="Ja",ISBLANK($AL$47))</formula>
    </cfRule>
  </conditionalFormatting>
  <conditionalFormatting sqref="AG47">
    <cfRule type="expression" dxfId="89" priority="234">
      <formula>AND(AN45="Ja",ISBLANK($AG$47))</formula>
    </cfRule>
  </conditionalFormatting>
  <conditionalFormatting sqref="AL47">
    <cfRule type="expression" dxfId="88" priority="233">
      <formula>AND(AN45="Ja",ISBLANK($AL$47))</formula>
    </cfRule>
  </conditionalFormatting>
  <conditionalFormatting sqref="G8">
    <cfRule type="expression" dxfId="87" priority="232">
      <formula>NOT(OR(G8="J",G8="N"))</formula>
    </cfRule>
  </conditionalFormatting>
  <conditionalFormatting sqref="S31:S39">
    <cfRule type="expression" dxfId="86" priority="226">
      <formula>$R31="t1?"</formula>
    </cfRule>
  </conditionalFormatting>
  <conditionalFormatting sqref="S40">
    <cfRule type="expression" dxfId="85" priority="225">
      <formula>$U40="t2?"</formula>
    </cfRule>
  </conditionalFormatting>
  <conditionalFormatting sqref="H47">
    <cfRule type="expression" dxfId="84" priority="220">
      <formula>$G$6="SPZ"</formula>
    </cfRule>
  </conditionalFormatting>
  <conditionalFormatting sqref="L47">
    <cfRule type="expression" dxfId="83" priority="219">
      <formula>$G$6="SPZ"</formula>
    </cfRule>
  </conditionalFormatting>
  <conditionalFormatting sqref="O46">
    <cfRule type="expression" dxfId="82" priority="218">
      <formula>$G$6="SPZ"</formula>
    </cfRule>
  </conditionalFormatting>
  <conditionalFormatting sqref="O47">
    <cfRule type="expression" dxfId="81" priority="217">
      <formula>$G$6="SPZ"</formula>
    </cfRule>
  </conditionalFormatting>
  <conditionalFormatting sqref="R46">
    <cfRule type="expression" dxfId="80" priority="216">
      <formula>$G$6="SPZ"</formula>
    </cfRule>
  </conditionalFormatting>
  <conditionalFormatting sqref="R47">
    <cfRule type="expression" dxfId="79" priority="215">
      <formula>$G$6="SPZ"</formula>
    </cfRule>
  </conditionalFormatting>
  <conditionalFormatting sqref="X47">
    <cfRule type="expression" dxfId="78" priority="214">
      <formula>$G$6="SPZ"</formula>
    </cfRule>
  </conditionalFormatting>
  <conditionalFormatting sqref="AA47">
    <cfRule type="expression" dxfId="77" priority="213">
      <formula>$G$6="SPZ"</formula>
    </cfRule>
  </conditionalFormatting>
  <conditionalFormatting sqref="H46">
    <cfRule type="expression" dxfId="76" priority="211">
      <formula>$G$6="RZ"</formula>
    </cfRule>
  </conditionalFormatting>
  <conditionalFormatting sqref="O44">
    <cfRule type="expression" dxfId="75" priority="210">
      <formula>$G$6="RZ"</formula>
    </cfRule>
  </conditionalFormatting>
  <conditionalFormatting sqref="O45">
    <cfRule type="expression" dxfId="74" priority="209">
      <formula>$G$6="RZ"</formula>
    </cfRule>
  </conditionalFormatting>
  <conditionalFormatting sqref="R44">
    <cfRule type="expression" dxfId="73" priority="208">
      <formula>$G$6="RZ"</formula>
    </cfRule>
  </conditionalFormatting>
  <conditionalFormatting sqref="R45">
    <cfRule type="expression" dxfId="72" priority="207">
      <formula>$G$6="RZ"</formula>
    </cfRule>
  </conditionalFormatting>
  <conditionalFormatting sqref="C44:D45">
    <cfRule type="expression" dxfId="71" priority="206">
      <formula>$G$6="RZ"</formula>
    </cfRule>
  </conditionalFormatting>
  <conditionalFormatting sqref="C46:D46">
    <cfRule type="expression" dxfId="70" priority="205">
      <formula>$G$6="RZ"</formula>
    </cfRule>
  </conditionalFormatting>
  <conditionalFormatting sqref="F46:G46">
    <cfRule type="expression" dxfId="69" priority="204">
      <formula>$G$6="RZ"</formula>
    </cfRule>
  </conditionalFormatting>
  <conditionalFormatting sqref="M45:N45">
    <cfRule type="expression" dxfId="68" priority="203">
      <formula>$G$6="RZ"</formula>
    </cfRule>
  </conditionalFormatting>
  <conditionalFormatting sqref="P45:Q45">
    <cfRule type="expression" dxfId="67" priority="202">
      <formula>$G$6="RZ"</formula>
    </cfRule>
  </conditionalFormatting>
  <conditionalFormatting sqref="M44:N44">
    <cfRule type="expression" dxfId="66" priority="201">
      <formula>$G$6="RZ"</formula>
    </cfRule>
  </conditionalFormatting>
  <conditionalFormatting sqref="P44:Q44">
    <cfRule type="expression" dxfId="65" priority="200">
      <formula>$G$6="RZ"</formula>
    </cfRule>
  </conditionalFormatting>
  <conditionalFormatting sqref="C47:D47">
    <cfRule type="expression" dxfId="64" priority="199">
      <formula>$G$6="SPZ"</formula>
    </cfRule>
  </conditionalFormatting>
  <conditionalFormatting sqref="F47:G47">
    <cfRule type="expression" dxfId="63" priority="198">
      <formula>$G$6="SPZ"</formula>
    </cfRule>
  </conditionalFormatting>
  <conditionalFormatting sqref="I47">
    <cfRule type="expression" dxfId="62" priority="197">
      <formula>$G$6="SPZ"</formula>
    </cfRule>
  </conditionalFormatting>
  <conditionalFormatting sqref="M46:N46">
    <cfRule type="expression" dxfId="61" priority="196">
      <formula>$G$6="SPZ"</formula>
    </cfRule>
  </conditionalFormatting>
  <conditionalFormatting sqref="M47:N47">
    <cfRule type="expression" dxfId="60" priority="195">
      <formula>$G$6="SPZ"</formula>
    </cfRule>
  </conditionalFormatting>
  <conditionalFormatting sqref="P47:Q47">
    <cfRule type="expression" dxfId="59" priority="194">
      <formula>$G$6="SPZ"</formula>
    </cfRule>
  </conditionalFormatting>
  <conditionalFormatting sqref="P46:Q46">
    <cfRule type="expression" dxfId="58" priority="193">
      <formula>$G$6="SPZ"</formula>
    </cfRule>
  </conditionalFormatting>
  <conditionalFormatting sqref="AF45:AM46">
    <cfRule type="expression" dxfId="57" priority="446">
      <formula>BG45="Ja"</formula>
    </cfRule>
  </conditionalFormatting>
  <conditionalFormatting sqref="AF47">
    <cfRule type="expression" dxfId="56" priority="448">
      <formula>AND(BG45="Ja",ISBLANK($AG$47))</formula>
    </cfRule>
  </conditionalFormatting>
  <conditionalFormatting sqref="AK47">
    <cfRule type="expression" dxfId="55" priority="450">
      <formula>AND(BG45="Ja",ISBLANK($AL$47))</formula>
    </cfRule>
  </conditionalFormatting>
  <conditionalFormatting sqref="AH47:AI47">
    <cfRule type="expression" dxfId="54" priority="452">
      <formula>AND(BG45="Ja",ISBLANK($AG$47))</formula>
    </cfRule>
  </conditionalFormatting>
  <conditionalFormatting sqref="AM47:AN47">
    <cfRule type="expression" dxfId="53" priority="457">
      <formula>AND(BG45="Ja",ISBLANK($AL$47))</formula>
    </cfRule>
  </conditionalFormatting>
  <conditionalFormatting sqref="W21">
    <cfRule type="expression" dxfId="52" priority="149">
      <formula>CELL("Schutz",W21)</formula>
    </cfRule>
  </conditionalFormatting>
  <conditionalFormatting sqref="V21">
    <cfRule type="expression" dxfId="51" priority="150">
      <formula>$R21="t1?"</formula>
    </cfRule>
  </conditionalFormatting>
  <conditionalFormatting sqref="V22 V31:V43 V26:V29">
    <cfRule type="expression" dxfId="50" priority="178">
      <formula>$R22="t1?"</formula>
    </cfRule>
  </conditionalFormatting>
  <conditionalFormatting sqref="P41:P43">
    <cfRule type="expression" dxfId="49" priority="173">
      <formula>$U41="t2?"</formula>
    </cfRule>
  </conditionalFormatting>
  <conditionalFormatting sqref="P31:P39">
    <cfRule type="expression" dxfId="48" priority="171">
      <formula>$R31="t1?"</formula>
    </cfRule>
  </conditionalFormatting>
  <conditionalFormatting sqref="P40">
    <cfRule type="expression" dxfId="47" priority="170">
      <formula>$U40="t2?"</formula>
    </cfRule>
  </conditionalFormatting>
  <conditionalFormatting sqref="AE44:AN44">
    <cfRule type="containsText" dxfId="46"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1">
      <formula>$R19="t1?"</formula>
    </cfRule>
  </conditionalFormatting>
  <conditionalFormatting sqref="P20:P28">
    <cfRule type="expression" dxfId="44" priority="140">
      <formula>$R20="t1?"</formula>
    </cfRule>
  </conditionalFormatting>
  <conditionalFormatting sqref="P19:P28">
    <cfRule type="expression" dxfId="43" priority="137">
      <formula>CELL("Schutz",P19)</formula>
    </cfRule>
  </conditionalFormatting>
  <conditionalFormatting sqref="V19">
    <cfRule type="expression" dxfId="42" priority="130">
      <formula>$R19="t1?"</formula>
    </cfRule>
  </conditionalFormatting>
  <conditionalFormatting sqref="V19">
    <cfRule type="expression" dxfId="41" priority="129">
      <formula>CELL("Schutz",V19)</formula>
    </cfRule>
  </conditionalFormatting>
  <conditionalFormatting sqref="P29">
    <cfRule type="expression" dxfId="40" priority="127">
      <formula>$R29="t1?"</formula>
    </cfRule>
  </conditionalFormatting>
  <conditionalFormatting sqref="S29">
    <cfRule type="expression" dxfId="39" priority="126">
      <formula>$R29="t1?"</formula>
    </cfRule>
  </conditionalFormatting>
  <conditionalFormatting sqref="P30">
    <cfRule type="expression" dxfId="38" priority="125">
      <formula>$R30="t1?"</formula>
    </cfRule>
  </conditionalFormatting>
  <conditionalFormatting sqref="S30">
    <cfRule type="expression" dxfId="37" priority="124">
      <formula>$R30="t1?"</formula>
    </cfRule>
  </conditionalFormatting>
  <conditionalFormatting sqref="V30">
    <cfRule type="expression" dxfId="36" priority="123">
      <formula>$R30="t1?"</formula>
    </cfRule>
  </conditionalFormatting>
  <conditionalFormatting sqref="I19:I43">
    <cfRule type="aboveAverage" dxfId="35" priority="121" aboveAverage="0"/>
    <cfRule type="aboveAverage" dxfId="34" priority="122"/>
  </conditionalFormatting>
  <conditionalFormatting sqref="G20:G43">
    <cfRule type="expression" dxfId="33" priority="115">
      <formula>AND(BI10=TRUE,BH10=TRUE)</formula>
    </cfRule>
  </conditionalFormatting>
  <conditionalFormatting sqref="G19:G43">
    <cfRule type="expression" dxfId="32" priority="458">
      <formula>AND(G19="X",$BJ$9=TRUE,$BI$9=TRUE)</formula>
    </cfRule>
  </conditionalFormatting>
  <conditionalFormatting sqref="G20:G43">
    <cfRule type="expression" dxfId="31" priority="459">
      <formula>AND($BJ$9=TRUE,$BI$9=TRUE)</formula>
    </cfRule>
  </conditionalFormatting>
  <conditionalFormatting sqref="V25">
    <cfRule type="expression" dxfId="30" priority="102">
      <formula>$R25="t1?"</formula>
    </cfRule>
  </conditionalFormatting>
  <conditionalFormatting sqref="W25:W27">
    <cfRule type="expression" dxfId="29" priority="90">
      <formula>CELL("Schutz",W25)</formula>
    </cfRule>
  </conditionalFormatting>
  <conditionalFormatting sqref="T27">
    <cfRule type="expression" dxfId="28" priority="88">
      <formula>CELL("Schutz",T27)</formula>
    </cfRule>
  </conditionalFormatting>
  <conditionalFormatting sqref="T22">
    <cfRule type="expression" dxfId="27" priority="71">
      <formula>CELL("Schutz",T22)</formula>
    </cfRule>
  </conditionalFormatting>
  <conditionalFormatting sqref="T23">
    <cfRule type="expression" dxfId="26" priority="68">
      <formula>CELL("Schutz",T23)</formula>
    </cfRule>
  </conditionalFormatting>
  <conditionalFormatting sqref="S19:S28">
    <cfRule type="expression" dxfId="25" priority="62">
      <formula>$R19="t1?"</formula>
    </cfRule>
  </conditionalFormatting>
  <conditionalFormatting sqref="S19:S28">
    <cfRule type="expression" dxfId="24" priority="61">
      <formula>CELL("Schutz",S19)</formula>
    </cfRule>
  </conditionalFormatting>
  <conditionalFormatting sqref="T21">
    <cfRule type="expression" dxfId="23" priority="60">
      <formula>CELL("Schutz",T21)</formula>
    </cfRule>
  </conditionalFormatting>
  <conditionalFormatting sqref="T24">
    <cfRule type="expression" dxfId="22" priority="57">
      <formula>CELL("Schutz",T24)</formula>
    </cfRule>
  </conditionalFormatting>
  <conditionalFormatting sqref="T25">
    <cfRule type="expression" dxfId="21" priority="51">
      <formula>CELL("Schutz",T25)</formula>
    </cfRule>
  </conditionalFormatting>
  <conditionalFormatting sqref="T26">
    <cfRule type="expression" dxfId="20" priority="45">
      <formula>CELL("Schutz",T26)</formula>
    </cfRule>
  </conditionalFormatting>
  <conditionalFormatting sqref="V24">
    <cfRule type="expression" dxfId="19" priority="44">
      <formula>$R24="t1?"</formula>
    </cfRule>
  </conditionalFormatting>
  <conditionalFormatting sqref="V24">
    <cfRule type="expression" dxfId="18" priority="43">
      <formula>CELL("Schutz",V24)</formula>
    </cfRule>
  </conditionalFormatting>
  <conditionalFormatting sqref="W24">
    <cfRule type="expression" dxfId="17" priority="42">
      <formula>CELL("Schutz",W24)</formula>
    </cfRule>
  </conditionalFormatting>
  <conditionalFormatting sqref="W23">
    <cfRule type="expression" dxfId="16" priority="40">
      <formula>CELL("Schutz",W23)</formula>
    </cfRule>
  </conditionalFormatting>
  <conditionalFormatting sqref="V23">
    <cfRule type="expression" dxfId="15" priority="39">
      <formula>$R23="t1?"</formula>
    </cfRule>
  </conditionalFormatting>
  <conditionalFormatting sqref="V23">
    <cfRule type="expression" dxfId="14" priority="38">
      <formula>CELL("Schutz",V23)</formula>
    </cfRule>
  </conditionalFormatting>
  <conditionalFormatting sqref="V20">
    <cfRule type="expression" dxfId="13" priority="31">
      <formula>$R20="t1?"</formula>
    </cfRule>
  </conditionalFormatting>
  <conditionalFormatting sqref="W19">
    <cfRule type="expression" dxfId="12" priority="25">
      <formula>CELL("Schutz",W19)</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Q19:Q31">
    <cfRule type="expression" dxfId="0" priority="1">
      <formula>CELL("Schutz",Q19)</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1"/>
      <c r="C5" s="1101"/>
      <c r="D5" s="463" t="str">
        <f>CONCATENATE(A5,$B$4,$C$4)</f>
        <v>KUKAC5000SEW</v>
      </c>
      <c r="E5" s="26" t="s">
        <v>1169</v>
      </c>
      <c r="F5" s="26">
        <v>1500</v>
      </c>
      <c r="G5" s="26">
        <v>10000</v>
      </c>
      <c r="H5" s="26" t="s">
        <v>1170</v>
      </c>
    </row>
    <row r="6" spans="1:8" ht="15.75" thickBot="1">
      <c r="A6" s="24" t="s">
        <v>1153</v>
      </c>
      <c r="B6" s="1102"/>
      <c r="C6" s="1101"/>
      <c r="D6" s="464" t="str">
        <f>CONCATENATE(A6,$B$4,$C$4)</f>
        <v>FanucC5000SEW</v>
      </c>
      <c r="E6" s="275" t="s">
        <v>1169</v>
      </c>
      <c r="F6" s="275">
        <v>1500</v>
      </c>
      <c r="G6" s="276">
        <v>10000</v>
      </c>
      <c r="H6" s="276" t="s">
        <v>1734</v>
      </c>
    </row>
    <row r="7" spans="1:8" ht="15">
      <c r="A7" s="22" t="s">
        <v>1146</v>
      </c>
      <c r="B7" s="1103" t="s">
        <v>1150</v>
      </c>
      <c r="C7" s="1101"/>
      <c r="D7" s="462" t="str">
        <f>CONCATENATE(A7,$B$7,$C$4)</f>
        <v>ABBC8000SEW</v>
      </c>
      <c r="E7" s="23" t="s">
        <v>1163</v>
      </c>
      <c r="F7" s="23">
        <v>1500</v>
      </c>
      <c r="G7" s="23">
        <v>10000</v>
      </c>
      <c r="H7" s="23" t="s">
        <v>1168</v>
      </c>
    </row>
    <row r="8" spans="1:8" ht="15">
      <c r="A8" s="25" t="s">
        <v>1155</v>
      </c>
      <c r="B8" s="1101"/>
      <c r="C8" s="1101"/>
      <c r="D8" s="463" t="str">
        <f>CONCATENATE(A8,$B$7,$C$4)</f>
        <v>KUKAC8000SEW</v>
      </c>
      <c r="E8" s="26" t="s">
        <v>1163</v>
      </c>
      <c r="F8" s="26">
        <v>1500</v>
      </c>
      <c r="G8" s="26">
        <v>10000</v>
      </c>
      <c r="H8" s="26" t="s">
        <v>1167</v>
      </c>
    </row>
    <row r="9" spans="1:8" ht="15.75" thickBot="1">
      <c r="A9" s="24" t="s">
        <v>1153</v>
      </c>
      <c r="B9" s="1102"/>
      <c r="C9" s="1101"/>
      <c r="D9" s="464" t="str">
        <f>CONCATENATE(A9,$B$7,$C$4)</f>
        <v>FanucC8000SEW</v>
      </c>
      <c r="E9" s="275" t="s">
        <v>1163</v>
      </c>
      <c r="F9" s="275">
        <v>1500</v>
      </c>
      <c r="G9" s="275">
        <v>10000</v>
      </c>
      <c r="H9" s="276" t="s">
        <v>1735</v>
      </c>
    </row>
    <row r="10" spans="1:8" ht="15">
      <c r="A10" s="22" t="s">
        <v>1146</v>
      </c>
      <c r="B10" s="1103" t="s">
        <v>1166</v>
      </c>
      <c r="C10" s="1101"/>
      <c r="D10" s="462" t="str">
        <f>CONCATENATE(A10,$B$10,$C$4)</f>
        <v>ABBC8000 TunnelSEW</v>
      </c>
      <c r="E10" s="23" t="s">
        <v>1163</v>
      </c>
      <c r="F10" s="23">
        <v>1500</v>
      </c>
      <c r="G10" s="23">
        <v>10000</v>
      </c>
      <c r="H10" s="23" t="s">
        <v>1165</v>
      </c>
    </row>
    <row r="11" spans="1:8" ht="15">
      <c r="A11" s="25" t="s">
        <v>1155</v>
      </c>
      <c r="B11" s="1101"/>
      <c r="C11" s="1101"/>
      <c r="D11" s="463" t="str">
        <f>CONCATENATE(A11,$B$10,$C$4)</f>
        <v>KUKAC8000 TunnelSEW</v>
      </c>
      <c r="E11" s="26" t="s">
        <v>1163</v>
      </c>
      <c r="F11" s="26">
        <v>1500</v>
      </c>
      <c r="G11" s="26">
        <v>10000</v>
      </c>
      <c r="H11" s="26" t="s">
        <v>1164</v>
      </c>
    </row>
    <row r="12" spans="1:8" ht="15.75" thickBot="1">
      <c r="A12" s="24" t="s">
        <v>1153</v>
      </c>
      <c r="B12" s="1102"/>
      <c r="C12" s="1101"/>
      <c r="D12" s="464" t="str">
        <f>CONCATENATE(A12,$B$10,$C$4)</f>
        <v>FanucC8000 TunnelSEW</v>
      </c>
      <c r="E12" s="275" t="s">
        <v>1163</v>
      </c>
      <c r="F12" s="275">
        <v>1500</v>
      </c>
      <c r="G12" s="275">
        <v>10000</v>
      </c>
      <c r="H12" s="276" t="s">
        <v>1736</v>
      </c>
    </row>
    <row r="13" spans="1:8" ht="15">
      <c r="A13" s="22" t="s">
        <v>1146</v>
      </c>
      <c r="B13" s="1103" t="s">
        <v>1162</v>
      </c>
      <c r="C13" s="1101"/>
      <c r="D13" s="462" t="str">
        <f>CONCATENATE(A13,$B$13,$C$4)</f>
        <v>ABBX100SEW</v>
      </c>
      <c r="E13" s="23" t="s">
        <v>1159</v>
      </c>
      <c r="F13" s="23">
        <v>2000</v>
      </c>
      <c r="G13" s="23">
        <v>12000</v>
      </c>
      <c r="H13" s="23" t="s">
        <v>1161</v>
      </c>
    </row>
    <row r="14" spans="1:8" ht="15">
      <c r="A14" s="25" t="s">
        <v>1155</v>
      </c>
      <c r="B14" s="1101"/>
      <c r="C14" s="1101"/>
      <c r="D14" s="463" t="str">
        <f>CONCATENATE(A14,$B$13,$C$4)</f>
        <v>KUKAX100SEW</v>
      </c>
      <c r="E14" s="26" t="s">
        <v>1159</v>
      </c>
      <c r="F14" s="26">
        <v>2000</v>
      </c>
      <c r="G14" s="26">
        <v>12000</v>
      </c>
      <c r="H14" s="26" t="s">
        <v>1160</v>
      </c>
    </row>
    <row r="15" spans="1:8" ht="15.75" thickBot="1">
      <c r="A15" s="24" t="s">
        <v>1153</v>
      </c>
      <c r="B15" s="1102"/>
      <c r="C15" s="1101"/>
      <c r="D15" s="465" t="str">
        <f>CONCATENATE(A15,$B$13,$C$4)</f>
        <v>FanucX100SEW</v>
      </c>
      <c r="E15" s="21" t="s">
        <v>1159</v>
      </c>
      <c r="F15" s="21">
        <v>2000</v>
      </c>
      <c r="G15" s="21">
        <v>12000</v>
      </c>
      <c r="H15" s="21" t="s">
        <v>1737</v>
      </c>
    </row>
    <row r="16" spans="1:8" ht="15">
      <c r="A16" s="22" t="s">
        <v>1146</v>
      </c>
      <c r="B16" s="1103" t="s">
        <v>1158</v>
      </c>
      <c r="C16" s="1101"/>
      <c r="D16" s="462" t="str">
        <f>CONCATENATE(A16,$B$16,$C$4)</f>
        <v>ABBX120SEW</v>
      </c>
      <c r="E16" s="23" t="s">
        <v>1157</v>
      </c>
      <c r="F16" s="23">
        <v>2500</v>
      </c>
      <c r="G16" s="23">
        <v>19500</v>
      </c>
      <c r="H16" s="23" t="s">
        <v>1156</v>
      </c>
    </row>
    <row r="17" spans="1:8" ht="15">
      <c r="A17" s="466" t="s">
        <v>1155</v>
      </c>
      <c r="B17" s="1101"/>
      <c r="C17" s="1101"/>
      <c r="D17" s="469" t="str">
        <f t="shared" ref="D17:D18" si="0">CONCATENATE(A17,$B$16,$C$4)</f>
        <v>KUKAX120SEW</v>
      </c>
      <c r="E17" s="26" t="s">
        <v>1746</v>
      </c>
      <c r="F17" s="26"/>
      <c r="G17" s="26"/>
      <c r="H17" s="26"/>
    </row>
    <row r="18" spans="1:8" ht="15.75" thickBot="1">
      <c r="A18" s="24" t="s">
        <v>1153</v>
      </c>
      <c r="B18" s="1102"/>
      <c r="C18" s="1101"/>
      <c r="D18" s="465" t="str">
        <f t="shared" si="0"/>
        <v>FanucX120SEW</v>
      </c>
      <c r="E18" s="21" t="s">
        <v>1746</v>
      </c>
      <c r="F18" s="21"/>
      <c r="G18" s="21"/>
      <c r="H18" s="21"/>
    </row>
    <row r="19" spans="1:8" ht="15">
      <c r="A19" s="22" t="s">
        <v>1146</v>
      </c>
      <c r="B19" s="1103" t="s">
        <v>1747</v>
      </c>
      <c r="C19" s="1101"/>
      <c r="D19" s="470" t="str">
        <f>CONCATENATE(A19,$B$19,$C$4)</f>
        <v>ABBX120 (Doppelzange)SEW</v>
      </c>
      <c r="E19" s="470" t="s">
        <v>1746</v>
      </c>
      <c r="F19" s="470"/>
      <c r="G19" s="470"/>
      <c r="H19" s="470"/>
    </row>
    <row r="20" spans="1:8" ht="15">
      <c r="A20" s="466" t="s">
        <v>1155</v>
      </c>
      <c r="B20" s="1101"/>
      <c r="C20" s="1101"/>
      <c r="D20" s="470" t="str">
        <f t="shared" ref="D20:D21" si="1">CONCATENATE(A20,$B$19,$C$4)</f>
        <v>KUKAX120 (Doppelzange)SEW</v>
      </c>
      <c r="E20" s="470" t="s">
        <v>1152</v>
      </c>
      <c r="F20" s="470">
        <v>2500</v>
      </c>
      <c r="G20" s="470">
        <v>19500</v>
      </c>
      <c r="H20" s="470" t="s">
        <v>1154</v>
      </c>
    </row>
    <row r="21" spans="1:8" ht="15.75" thickBot="1">
      <c r="A21" s="20" t="s">
        <v>1153</v>
      </c>
      <c r="B21" s="1102"/>
      <c r="C21" s="1101"/>
      <c r="D21" s="470" t="str">
        <f t="shared" si="1"/>
        <v>FanucX120 (Doppelzange)SEW</v>
      </c>
      <c r="E21" s="21" t="s">
        <v>1152</v>
      </c>
      <c r="F21" s="21">
        <v>2500</v>
      </c>
      <c r="G21" s="21">
        <v>19500</v>
      </c>
      <c r="H21" s="21" t="s">
        <v>1738</v>
      </c>
    </row>
    <row r="22" spans="1:8" ht="15">
      <c r="A22" s="22" t="s">
        <v>1146</v>
      </c>
      <c r="B22" s="1103" t="s">
        <v>1739</v>
      </c>
      <c r="C22" s="1101"/>
      <c r="D22" s="462" t="str">
        <f t="shared" ref="D22:D24" si="2">CONCATENATE(A22,$B$22,$C$4)</f>
        <v>ABBX125SEW</v>
      </c>
      <c r="E22" s="23" t="s">
        <v>1157</v>
      </c>
      <c r="F22" s="23">
        <v>2500</v>
      </c>
      <c r="G22" s="23">
        <v>19500</v>
      </c>
      <c r="H22" s="26"/>
    </row>
    <row r="23" spans="1:8" ht="15">
      <c r="A23" s="466" t="s">
        <v>1155</v>
      </c>
      <c r="B23" s="1101"/>
      <c r="C23" s="1101"/>
      <c r="D23" s="469" t="str">
        <f t="shared" si="2"/>
        <v>KUKAX125SEW</v>
      </c>
      <c r="E23" s="470" t="s">
        <v>1152</v>
      </c>
      <c r="F23" s="470">
        <v>2500</v>
      </c>
      <c r="G23" s="470">
        <v>19500</v>
      </c>
      <c r="H23" s="470"/>
    </row>
    <row r="24" spans="1:8" ht="15.75" thickBot="1">
      <c r="A24" s="20" t="s">
        <v>1153</v>
      </c>
      <c r="B24" s="1102"/>
      <c r="C24" s="1101"/>
      <c r="D24" s="465" t="str">
        <f t="shared" si="2"/>
        <v>FanucX125SEW</v>
      </c>
      <c r="E24" s="21" t="s">
        <v>1152</v>
      </c>
      <c r="F24" s="21">
        <v>2500</v>
      </c>
      <c r="G24" s="21">
        <v>19500</v>
      </c>
      <c r="H24" s="21"/>
    </row>
    <row r="25" spans="1:8" ht="15">
      <c r="A25" s="22" t="s">
        <v>1146</v>
      </c>
      <c r="B25" s="1101" t="s">
        <v>1748</v>
      </c>
      <c r="C25" s="1101"/>
      <c r="D25" s="23" t="str">
        <f>CONCATENATE(A25,$B$25,$C$4)</f>
        <v>ABBX125 (Doppelzange)SEW</v>
      </c>
      <c r="E25" s="23" t="s">
        <v>1157</v>
      </c>
      <c r="F25" s="23">
        <v>2500</v>
      </c>
      <c r="G25" s="23">
        <v>19500</v>
      </c>
      <c r="H25" s="23"/>
    </row>
    <row r="26" spans="1:8" ht="15">
      <c r="A26" s="466" t="s">
        <v>1155</v>
      </c>
      <c r="B26" s="1101"/>
      <c r="C26" s="1101"/>
      <c r="D26" s="26" t="str">
        <f t="shared" ref="D26:D27" si="3">CONCATENATE(A26,$B$25,$C$4)</f>
        <v>KUKAX125 (Doppelzange)SEW</v>
      </c>
      <c r="E26" s="470" t="s">
        <v>1152</v>
      </c>
      <c r="F26" s="470">
        <v>2500</v>
      </c>
      <c r="G26" s="470">
        <v>19500</v>
      </c>
      <c r="H26" s="470"/>
    </row>
    <row r="27" spans="1:8" ht="15.75" thickBot="1">
      <c r="A27" s="20" t="s">
        <v>1153</v>
      </c>
      <c r="B27" s="1102"/>
      <c r="C27" s="1102"/>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1"/>
      <c r="C29" s="1107"/>
      <c r="D29" s="26" t="str">
        <f t="shared" ref="D29:D30" si="4">CONCATENATE(A29,$B$28,$C$28)</f>
        <v>KUKAC5000Tolomatic</v>
      </c>
      <c r="E29" s="25" t="s">
        <v>1740</v>
      </c>
      <c r="F29" s="26">
        <v>1500</v>
      </c>
      <c r="G29" s="26">
        <v>7560</v>
      </c>
      <c r="H29" s="25" t="s">
        <v>1696</v>
      </c>
    </row>
    <row r="30" spans="1:8" ht="15.75" thickBot="1">
      <c r="A30" s="24" t="s">
        <v>1153</v>
      </c>
      <c r="B30" s="1102"/>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1"/>
      <c r="C32" s="1107"/>
      <c r="D32" s="26" t="str">
        <f t="shared" ref="D32:D33" si="5">CONCATENATE(A32,$B$31,$C$28)</f>
        <v>KUKAC8000Tolomatic</v>
      </c>
      <c r="E32" s="466" t="s">
        <v>1741</v>
      </c>
      <c r="F32" s="26">
        <v>1500</v>
      </c>
      <c r="G32" s="26">
        <v>11100</v>
      </c>
      <c r="H32" s="25" t="s">
        <v>1742</v>
      </c>
    </row>
    <row r="33" spans="1:8" ht="15.75" thickBot="1">
      <c r="A33" s="24" t="s">
        <v>1153</v>
      </c>
      <c r="B33" s="1102"/>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1"/>
      <c r="C35" s="1107"/>
      <c r="D35" s="26" t="str">
        <f t="shared" ref="D35:D36" si="6">CONCATENATE(A35,$B$34,$C$28)</f>
        <v>KUKAC8000 TunnelTolomatic</v>
      </c>
      <c r="E35" s="25" t="s">
        <v>1741</v>
      </c>
      <c r="F35" s="26">
        <v>1500</v>
      </c>
      <c r="G35" s="26">
        <v>11100</v>
      </c>
      <c r="H35" s="25">
        <v>28330051</v>
      </c>
    </row>
    <row r="36" spans="1:8" ht="15.75" thickBot="1">
      <c r="A36" s="24" t="s">
        <v>1153</v>
      </c>
      <c r="B36" s="1102"/>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1"/>
      <c r="C38" s="1107"/>
      <c r="D38" s="26" t="str">
        <f t="shared" ref="D38:D39" si="7">CONCATENATE(A38,$B$37,$C$28)</f>
        <v>KUKAX100Tolomatic</v>
      </c>
      <c r="E38" s="25" t="s">
        <v>1743</v>
      </c>
      <c r="F38" s="26">
        <v>2000</v>
      </c>
      <c r="G38" s="26">
        <v>14680</v>
      </c>
      <c r="H38" s="25">
        <v>28440189</v>
      </c>
    </row>
    <row r="39" spans="1:8" ht="15.75" thickBot="1">
      <c r="A39" s="24" t="s">
        <v>1153</v>
      </c>
      <c r="B39" s="1102"/>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1"/>
      <c r="C41" s="1107"/>
      <c r="D41" s="26" t="str">
        <f t="shared" ref="D41:D42" si="8">CONCATENATE(A41,$B$40,$C$28)</f>
        <v>KUKAX125Tolomatic</v>
      </c>
      <c r="E41" s="25" t="s">
        <v>1744</v>
      </c>
      <c r="F41" s="26">
        <v>2500</v>
      </c>
      <c r="G41" s="26">
        <v>24000</v>
      </c>
      <c r="H41" s="26">
        <v>28440191</v>
      </c>
    </row>
    <row r="42" spans="1:8" ht="15.75" thickBot="1">
      <c r="A42" s="20" t="s">
        <v>1153</v>
      </c>
      <c r="B42" s="1102"/>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1"/>
      <c r="C44" s="1107"/>
      <c r="D44" s="26" t="str">
        <f t="shared" ref="D44:D45" si="9">CONCATENATE(A44,$B$43,$C$28)</f>
        <v>KUKAX125 (Doppelzange)Tolomatic</v>
      </c>
      <c r="E44" s="25" t="s">
        <v>1745</v>
      </c>
      <c r="F44" s="26">
        <v>2500</v>
      </c>
      <c r="G44" s="26">
        <v>24000</v>
      </c>
      <c r="H44" s="26">
        <v>28440212</v>
      </c>
    </row>
    <row r="45" spans="1:8" ht="15.75" thickBot="1">
      <c r="A45" s="20" t="s">
        <v>1153</v>
      </c>
      <c r="B45" s="1102"/>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Blatt_1_1520R01</vt:lpstr>
      <vt:lpstr>Punktplan LTVL_4_1520</vt:lpstr>
      <vt:lpstr>Materialliste</vt:lpstr>
      <vt:lpstr>Motordaten</vt:lpstr>
      <vt:lpstr>Hinweise (Notes)</vt:lpstr>
      <vt:lpstr>Änderungshistorie</vt:lpstr>
      <vt:lpstr>'Blatt 0'!Area_de_impressao</vt:lpstr>
      <vt:lpstr>Blatt_1_1520R01!Area_de_impressao</vt:lpstr>
      <vt:lpstr>'Punktplan LTVL_4_1520'!Area_de_impressao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