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610R01" sheetId="38" r:id="rId2"/>
    <sheet name="Punktplan LTVL_4_161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LTVL_4_1610'!$M$19:$M$32</definedName>
    <definedName name="_xlnm.Print_Area" localSheetId="0">'Blatt 0'!$A$1:$AK$60</definedName>
    <definedName name="_xlnm.Print_Area" localSheetId="1">Blatt_1_1610R01!$A$1:$AK$60</definedName>
    <definedName name="_xlnm.Print_Area" localSheetId="2">'Punktplan LTVL_4_1610'!$A$1:$BB$58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<sst xmlns="http://schemas.openxmlformats.org/spreadsheetml/2006/main" count="2235" uniqueCount="1951">
  <si>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</si>
  <si>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</si>
  <si>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</si>
  <si>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</si>
  <si>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</si>
  <si>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</si>
  <si>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</si>
  <si>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</si>
  <si>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</si>
  <si>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</si>
  <si>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</si>
  <si>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</si>
  <si>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</si>
  <si>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</si>
  <si>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</si>
  <si>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</si>
  <si>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</si>
  <si>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</si>
  <si>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</si>
  <si>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</si>
  <si>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</si>
  <si>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</si>
  <si>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</si>
  <si>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</si>
  <si>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</si>
  <si>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</si>
  <si>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</si>
  <si>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</si>
  <si>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</si>
  <si>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</si>
  <si>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</si>
  <si>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</si>
  <si>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</si>
  <si>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</si>
  <si>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</si>
  <si>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</si>
  <si>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</si>
  <si>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</si>
  <si>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</si>
  <si>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</si>
  <si>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</si>
  <si>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</si>
  <si>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</si>
  <si>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</si>
  <si>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</si>
  <si>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</si>
  <si>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</si>
  <si>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</si>
  <si>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</si>
  <si>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</si>
  <si>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</si>
  <si>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</si>
  <si>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</si>
  <si>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</si>
  <si>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</si>
  <si>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</si>
  <si>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</si>
  <si>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</si>
  <si>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</si>
  <si>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</si>
  <si>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</si>
  <si>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</si>
  <si>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</si>
  <si>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</si>
  <si>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</si>
  <si>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</si>
  <si>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</si>
  <si>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</si>
  <si>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</si>
  <si>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</si>
  <si>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</si>
  <si>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</si>
  <si>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</si>
  <si>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</si>
  <si>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</si>
  <si>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</si>
  <si>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</si>
  <si>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</si>
  <si>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</si>
  <si>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</si>
  <si>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</si>
  <si>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</si>
  <si>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</si>
  <si>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</si>
  <si>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</si>
  <si>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</si>
  <si>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</si>
  <si>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</si>
  <si>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</si>
  <si>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</si>
  <si>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</si>
  <si>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</si>
  <si>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</si>
  <si>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</si>
  <si>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</si>
  <si>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</si>
  <si>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</si>
  <si>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</si>
  <si>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</si>
  <si>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</si>
  <si>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</si>
  <si>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</si>
  <si>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</si>
  <si>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</si>
  <si>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</si>
  <si>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</si>
  <si>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</si>
  <si>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</si>
  <si>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</si>
  <si>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</si>
  <si>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</si>
  <si>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</si>
  <si>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</si>
  <si>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</si>
  <si>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</si>
  <si>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</si>
  <si>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</si>
  <si>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</si>
  <si>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</si>
  <si>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</si>
  <si>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</si>
  <si>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</si>
  <si>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</si>
  <si>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</si>
  <si>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</si>
  <si>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</si>
  <si>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</si>
  <si>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</si>
  <si>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</si>
  <si>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</si>
  <si>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</si>
  <si>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</si>
  <si>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</si>
  <si>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</si>
  <si>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</si>
  <si>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</si>
  <si>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</si>
  <si>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</si>
  <si>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</si>
  <si>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</si>
  <si>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</si>
  <si>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</si>
  <si>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</si>
  <si>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</si>
  <si>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</si>
  <si>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</si>
  <si>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</si>
  <si>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</si>
  <si>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</si>
  <si>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</si>
  <si>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</si>
  <si>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</si>
  <si>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</si>
  <si>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</si>
  <si>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</si>
  <si>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</si>
  <si>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</si>
  <si>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</si>
  <si>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</si>
  <si>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</si>
  <si>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</si>
  <si>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</si>
  <si>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</si>
  <si>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</si>
  <si>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</si>
  <si>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</si>
  <si>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</si>
  <si>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</si>
  <si>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</si>
  <si>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</si>
  <si>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</si>
  <si>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</si>
  <si>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</si>
  <si>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</si>
  <si>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</si>
  <si>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</si>
  <si>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</si>
  <si>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</si>
  <si>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</si>
  <si>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</si>
  <si>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</si>
  <si>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</si>
  <si>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</si>
  <si>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</si>
  <si>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</si>
  <si>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</si>
  <si>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</si>
  <si>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</si>
  <si>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</si>
  <si>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</si>
  <si>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</si>
  <si>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</si>
  <si>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</si>
  <si>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</si>
  <si>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</si>
  <si>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</si>
  <si>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</si>
  <si>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</si>
  <si>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</si>
  <si>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</si>
  <si>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</si>
  <si>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</si>
  <si>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</si>
  <si>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</si>
  <si>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</si>
  <si>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</si>
  <si>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</si>
  <si>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</si>
  <si>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</si>
  <si>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</si>
  <si>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</si>
  <si>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</si>
  <si>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</si>
  <si>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</si>
  <si>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</si>
  <si>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</si>
  <si>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</si>
  <si>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</si>
  <si>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</si>
  <si>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</si>
  <si>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</si>
  <si>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</si>
  <si>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</si>
  <si>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</si>
  <si>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</si>
  <si>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</si>
  <si>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</si>
  <si>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</si>
  <si>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</si>
  <si>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</si>
  <si>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</si>
  <si>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</si>
  <si>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</si>
  <si>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</si>
  <si>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</si>
  <si>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</si>
  <si>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</si>
  <si>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</si>
  <si>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</si>
  <si>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</si>
  <si>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</si>
  <si>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</si>
  <si>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</si>
  <si>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</si>
  <si>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</si>
  <si>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</si>
  <si>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</si>
  <si>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</si>
  <si>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</si>
  <si>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</si>
  <si>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</si>
  <si>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</si>
  <si>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</si>
  <si>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</si>
  <si>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</si>
  <si>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</si>
  <si>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</si>
  <si>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</si>
  <si>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</si>
  <si>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</si>
  <si>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</si>
  <si>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</si>
  <si>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</si>
  <si>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</si>
  <si>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</si>
  <si>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</si>
  <si>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</si>
  <si>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</si>
  <si>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</si>
  <si>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</si>
  <si>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</si>
  <si>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</si>
  <si>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</si>
  <si>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</si>
  <si>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</si>
  <si>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</si>
  <si>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</si>
  <si>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</si>
  <si>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</si>
  <si>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</si>
  <si>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</si>
  <si>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</si>
  <si>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</si>
  <si>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</si>
  <si>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</si>
  <si>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</si>
  <si>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</si>
  <si>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</si>
  <si>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</si>
  <si>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</si>
  <si>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</si>
  <si>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</si>
  <si>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</si>
  <si>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</si>
  <si>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</si>
  <si>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</si>
  <si>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</si>
  <si>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</si>
  <si>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</si>
  <si>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</si>
  <si>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</si>
  <si>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</si>
  <si>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</si>
  <si>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</si>
  <si>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</si>
  <si>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</si>
  <si>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</si>
  <si>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</si>
  <si>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</si>
  <si>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</si>
  <si>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</si>
  <si>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</si>
  <si>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</si>
  <si>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</si>
  <si>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</si>
  <si>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</si>
  <si>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</si>
  <si>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</si>
  <si>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</si>
  <si>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</si>
  <si>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</si>
  <si>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</si>
  <si>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</si>
  <si>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</si>
  <si>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</si>
  <si>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</si>
  <si>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</si>
  <si>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</si>
  <si>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</si>
  <si>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</si>
  <si>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</si>
  <si>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</si>
  <si>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</si>
  <si>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</si>
  <si>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</si>
  <si>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</si>
  <si>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</si>
  <si>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</si>
  <si>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</si>
  <si>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</si>
  <si>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</si>
  <si>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</si>
  <si>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</si>
  <si>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</si>
  <si>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</si>
  <si>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</si>
  <si>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</si>
  <si>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</si>
  <si>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</si>
  <si>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</si>
  <si>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</si>
  <si>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</si>
  <si>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</si>
  <si>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</si>
  <si>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</si>
  <si>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</si>
  <si>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</si>
  <si>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</si>
  <si>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</si>
  <si>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</si>
  <si>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</si>
  <si>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</si>
  <si>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</si>
  <si>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</si>
  <si>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</si>
  <si>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</si>
  <si>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</si>
  <si>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</si>
  <si>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</si>
  <si>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</si>
  <si>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</si>
  <si>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</si>
  <si>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</si>
  <si>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</si>
  <si>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</si>
  <si>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</si>
  <si>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</si>
  <si>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</si>
  <si>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</si>
  <si>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</si>
  <si>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</si>
  <si>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</si>
  <si>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</si>
  <si>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</si>
  <si>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</si>
  <si>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</si>
  <si>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</si>
  <si>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</si>
  <si>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</si>
  <si>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</si>
  <si>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</si>
  <si>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</si>
  <si>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</si>
  <si>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</si>
  <si>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</si>
  <si>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</si>
  <si>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</si>
  <si>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</si>
  <si>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</si>
  <si>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</si>
  <si>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</si>
  <si>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</si>
  <si>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</si>
  <si>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</si>
  <si>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</si>
  <si>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</si>
  <si>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</si>
  <si>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</si>
  <si>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</si>
  <si>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</si>
  <si>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</si>
  <si>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</si>
  <si>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</si>
  <si>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</si>
  <si>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</si>
  <si>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</si>
  <si>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</si>
  <si>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</si>
  <si>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</si>
  <si>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</si>
  <si>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</si>
  <si>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</si>
  <si>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</si>
  <si>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</si>
  <si>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</si>
  <si>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</si>
  <si>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</si>
  <si>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</si>
  <si>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</si>
  <si>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</si>
  <si>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</si>
  <si>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</si>
  <si>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</si>
  <si>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</si>
  <si>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</si>
  <si>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</si>
  <si>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</si>
  <si>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</si>
  <si>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</si>
  <si>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</si>
  <si>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</si>
  <si>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</si>
  <si>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</si>
  <si>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</si>
  <si>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</si>
  <si>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</si>
  <si>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</si>
  <si>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</si>
  <si>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</si>
  <si>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</si>
  <si>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</si>
  <si>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</si>
  <si>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</si>
  <si>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</si>
  <si>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</si>
  <si>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</si>
  <si>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</si>
  <si>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</si>
  <si>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</si>
  <si>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</si>
  <si>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</si>
  <si>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</si>
  <si>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</si>
  <si>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</si>
  <si>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</si>
  <si>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</si>
  <si>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</si>
  <si>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</si>
  <si>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</si>
  <si>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</si>
  <si>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</si>
  <si>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</si>
  <si>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</si>
  <si>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</si>
  <si>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</si>
  <si>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</si>
  <si>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</si>
  <si>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</si>
  <si>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</si>
  <si>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</si>
  <si>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</si>
  <si>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</si>
  <si>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</si>
  <si>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</si>
  <si>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</si>
  <si>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</si>
  <si>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</si>
  <si>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</si>
  <si>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</si>
  <si>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</si>
  <si>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</si>
  <si>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</si>
  <si>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</si>
  <si>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</si>
  <si>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</si>
  <si>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</si>
  <si>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</si>
  <si>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</si>
  <si>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</si>
  <si>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</si>
  <si>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</si>
  <si>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</si>
  <si>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</si>
  <si>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</si>
  <si>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</si>
  <si>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</si>
  <si>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</si>
  <si>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</si>
  <si>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</si>
  <si>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</si>
  <si>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</si>
  <si>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</si>
  <si>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</si>
  <si>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</si>
  <si>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</si>
  <si>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</si>
  <si>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</si>
  <si>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</si>
  <si>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</si>
  <si>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</si>
  <si>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</si>
  <si>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</si>
  <si>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</si>
  <si>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</si>
  <si>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</si>
  <si>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</si>
  <si>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</si>
  <si>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</si>
  <si>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</si>
  <si>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</si>
  <si>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</si>
  <si>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</si>
  <si>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</si>
  <si>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</si>
  <si>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</si>
  <si>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</si>
  <si>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</si>
  <si>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</si>
  <si>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</si>
  <si>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</si>
  <si>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</si>
  <si>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</si>
  <si>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</si>
  <si>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</si>
  <si>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</si>
  <si>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</si>
  <si>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</si>
  <si>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</si>
  <si>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</si>
  <si>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</si>
  <si>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</si>
  <si>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</si>
  <si>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</si>
  <si>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</si>
  <si>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</si>
  <si>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</si>
  <si>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</si>
  <si>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</si>
  <si>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</si>
  <si>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</si>
  <si>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</si>
  <si>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</si>
  <si>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</si>
  <si>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</si>
  <si>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</si>
  <si>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</si>
  <si>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</si>
  <si>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</si>
  <si>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</si>
  <si>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</si>
  <si>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</si>
  <si>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</si>
  <si>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</si>
  <si>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</si>
  <si>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</si>
  <si>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</si>
  <si>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</si>
  <si>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</si>
  <si>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</si>
  <si>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</si>
  <si>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</si>
  <si>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</si>
  <si>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</si>
  <si>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</si>
  <si>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</si>
  <si>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</si>
  <si>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</si>
  <si>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</si>
  <si>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</si>
  <si>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</si>
  <si>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</si>
  <si>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</si>
  <si>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</si>
  <si>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</si>
  <si>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</si>
  <si>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</si>
  <si>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</si>
  <si>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</si>
  <si>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</si>
  <si>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</si>
  <si>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</si>
  <si>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</si>
  <si>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</si>
  <si>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</si>
  <si>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</si>
  <si>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</si>
  <si>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</si>
  <si>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</si>
  <si>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</si>
  <si>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</si>
  <si>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</si>
  <si>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</si>
  <si>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</si>
  <si>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</si>
  <si>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</si>
  <si>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</si>
  <si>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</si>
  <si>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</si>
  <si>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</si>
  <si>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</si>
  <si>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</si>
  <si>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</si>
  <si>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</si>
  <si>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</si>
  <si>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</si>
  <si>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</si>
  <si>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</si>
  <si>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</si>
  <si>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</si>
  <si>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</si>
  <si>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</si>
  <si>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</si>
  <si>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</si>
  <si>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</si>
  <si>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</si>
  <si>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</si>
  <si>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</si>
  <si>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</si>
  <si>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</si>
  <si>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</si>
  <si>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</si>
  <si>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</si>
  <si>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</si>
  <si>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</si>
  <si>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</si>
  <si>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</si>
  <si>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</si>
  <si>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</si>
  <si>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</si>
  <si>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</si>
  <si>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</si>
  <si>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</si>
  <si>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</si>
  <si>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</si>
  <si>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</si>
  <si>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</si>
  <si>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</si>
  <si>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</si>
  <si>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</si>
  <si>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</si>
  <si>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</si>
  <si>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</si>
  <si>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</si>
  <si>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</si>
  <si>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</si>
  <si>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</si>
  <si>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</si>
  <si>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</si>
  <si>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</si>
  <si>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</si>
  <si>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</si>
  <si>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</si>
  <si>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</si>
  <si>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</si>
  <si>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</si>
  <si>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</si>
  <si>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</si>
  <si>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</si>
  <si>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</si>
  <si>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</si>
  <si>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</si>
  <si>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</si>
  <si>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</si>
  <si>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</si>
  <si>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</si>
  <si>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</si>
  <si>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</si>
  <si>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</si>
  <si>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</si>
  <si>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</si>
  <si>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</si>
  <si>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</si>
  <si>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</si>
  <si>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</si>
  <si>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</si>
  <si>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</si>
  <si>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</si>
  <si>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</si>
  <si>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</si>
  <si>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</si>
  <si>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</si>
  <si>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</si>
  <si>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</si>
  <si>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</si>
  <si>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</si>
  <si>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</si>
  <si>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</si>
  <si>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</si>
  <si>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</si>
  <si>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</si>
  <si>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</si>
  <si>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</si>
  <si>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</si>
  <si>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</si>
  <si>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</si>
  <si>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</si>
  <si>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</si>
  <si>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</si>
  <si>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</si>
  <si>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</si>
  <si>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</si>
  <si>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</si>
  <si>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</si>
  <si>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</si>
  <si>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</si>
  <si>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</si>
  <si>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</si>
  <si>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</si>
  <si>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</si>
  <si>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</si>
  <si>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</si>
  <si>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</si>
  <si>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</si>
  <si>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</si>
  <si>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</si>
  <si>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</si>
  <si>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</si>
  <si>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</si>
  <si>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</si>
  <si>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</si>
  <si>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</si>
  <si>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</si>
  <si>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</si>
  <si>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</si>
  <si>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</si>
  <si>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</si>
  <si>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</si>
  <si>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</si>
  <si>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</si>
  <si>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</si>
  <si>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</si>
  <si>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</si>
  <si>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</si>
  <si>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</si>
  <si>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</si>
  <si>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</si>
  <si>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</si>
  <si>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</si>
  <si>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</si>
  <si>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</si>
  <si>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</si>
  <si>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</si>
  <si>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</si>
  <si>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</si>
  <si>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</si>
  <si>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</si>
  <si>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</si>
  <si>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</si>
  <si>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</si>
  <si>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</si>
  <si>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</si>
  <si>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</si>
  <si>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</si>
  <si>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</si>
  <si>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</si>
  <si>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</si>
  <si>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</si>
  <si>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</si>
  <si>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</si>
  <si>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</si>
  <si>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</si>
  <si>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</si>
  <si>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</si>
  <si>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</si>
  <si>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</si>
  <si>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</si>
  <si>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</si>
  <si>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</si>
  <si>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</si>
  <si>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</si>
  <si>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</si>
  <si>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</si>
  <si>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</si>
  <si>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</si>
  <si>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</si>
  <si>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</si>
  <si>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</si>
  <si>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</si>
  <si>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</si>
  <si>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</si>
  <si>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</si>
  <si>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</si>
  <si>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</si>
  <si>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</si>
  <si>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</si>
  <si>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</si>
  <si>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</si>
  <si>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</si>
  <si>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</si>
  <si>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</si>
  <si>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</si>
  <si>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</si>
  <si>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</si>
  <si>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</si>
  <si>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</si>
  <si>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</si>
  <si>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</si>
  <si>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</si>
  <si>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</si>
  <si>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</si>
  <si>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</si>
  <si>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</si>
  <si>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</si>
  <si>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</si>
  <si>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</si>
  <si>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</si>
  <si>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</si>
  <si>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</si>
  <si>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</si>
  <si>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</si>
  <si>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</si>
  <si>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</si>
  <si>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</si>
  <si>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</si>
  <si>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</si>
  <si>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</si>
  <si>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</si>
  <si>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</si>
  <si>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</si>
  <si>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</si>
  <si>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</si>
  <si>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</si>
  <si>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</si>
  <si>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</si>
  <si>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</si>
  <si>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</si>
  <si>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</si>
  <si>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</si>
  <si>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</si>
  <si>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</si>
  <si>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</si>
  <si>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</si>
  <si>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</si>
  <si>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</si>
  <si>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</si>
  <si>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</si>
  <si>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</si>
  <si>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</si>
  <si>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</si>
  <si>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</si>
  <si>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</si>
  <si>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</si>
  <si>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</si>
  <si>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</si>
  <si>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</si>
  <si>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</si>
  <si>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</si>
  <si>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</si>
  <si>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</si>
  <si>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</si>
  <si>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</si>
  <si>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</si>
  <si>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</si>
  <si>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</si>
  <si>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</si>
  <si>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</si>
  <si>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</si>
  <si>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</si>
  <si>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</si>
  <si>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</si>
  <si>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</si>
  <si>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</si>
  <si>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</si>
  <si>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</si>
  <si>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</si>
  <si>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</si>
  <si>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</si>
  <si>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</si>
  <si>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</si>
  <si>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</si>
  <si>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</si>
  <si>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</si>
  <si>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</si>
  <si>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</si>
  <si>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</si>
  <si>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</si>
  <si>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</si>
  <si>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</si>
  <si>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</si>
  <si>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</si>
  <si>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</si>
  <si>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</si>
  <si>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</si>
  <si>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</si>
  <si>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</si>
  <si>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</si>
  <si>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</si>
  <si>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</si>
  <si>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</si>
  <si>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</si>
  <si>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</si>
  <si>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</si>
  <si>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</si>
  <si>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</si>
  <si>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</si>
  <si>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</si>
  <si>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</si>
  <si>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</si>
  <si>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</si>
  <si>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</si>
  <si>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</si>
  <si>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</si>
  <si>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</si>
  <si>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</si>
  <si>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</si>
  <si>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</si>
  <si>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</si>
  <si>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</si>
  <si>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</si>
  <si>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</si>
  <si>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</si>
  <si>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</si>
  <si>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</si>
  <si>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</si>
  <si>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</si>
  <si>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</si>
  <si>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</si>
  <si>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</si>
  <si>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</si>
  <si>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</si>
  <si>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</si>
  <si>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</si>
  <si>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</si>
  <si>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</si>
  <si>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</si>
  <si>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</si>
  <si>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</si>
  <si>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</si>
  <si>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</si>
  <si>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</si>
  <si>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</si>
  <si>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</si>
  <si>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</si>
  <si>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</si>
  <si>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</si>
  <si>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</si>
  <si>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</si>
  <si>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</si>
  <si>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</si>
  <si>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</si>
  <si>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</si>
  <si>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</si>
  <si>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</si>
  <si>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</si>
  <si>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</si>
  <si>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</si>
  <si>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</si>
  <si>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</si>
  <si>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</si>
  <si>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</si>
  <si>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</si>
  <si>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</si>
  <si>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</si>
  <si>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</si>
  <si>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</si>
  <si>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</si>
  <si>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</si>
  <si>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</si>
  <si>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</si>
  <si>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</si>
  <si>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</si>
  <si>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</si>
  <si>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</si>
  <si>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</si>
  <si>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</si>
  <si>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</si>
  <si>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</si>
  <si>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</si>
  <si>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</si>
  <si>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</si>
  <si>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</si>
  <si>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</si>
  <si>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</si>
  <si>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</si>
  <si>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</si>
  <si>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</si>
  <si>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</si>
  <si>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</si>
  <si>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</si>
  <si>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</si>
  <si>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</si>
  <si>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</si>
  <si>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</si>
  <si>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</si>
  <si>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</si>
  <si>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</si>
  <si>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</si>
  <si>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</si>
  <si>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</si>
  <si>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</si>
  <si>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</si>
  <si>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</si>
  <si>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</si>
  <si>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</si>
  <si>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</si>
  <si>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</si>
  <si>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</si>
  <si>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</si>
  <si>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</si>
  <si>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</si>
  <si>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</si>
  <si>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</si>
  <si>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</si>
  <si>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</si>
  <si>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</si>
  <si>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</si>
  <si>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</si>
  <si>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</si>
  <si>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</si>
  <si>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</si>
  <si>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</si>
  <si>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</si>
  <si>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</si>
  <si>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</si>
  <si>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</si>
  <si>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</si>
  <si>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</si>
  <si>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</si>
  <si>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</si>
  <si>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</si>
  <si>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</si>
  <si>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</si>
  <si>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</si>
  <si>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</si>
  <si>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</si>
  <si>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</si>
  <si>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</si>
  <si>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</si>
  <si>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</si>
  <si>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</si>
  <si>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</si>
  <si>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</si>
  <si>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</si>
  <si>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</si>
  <si>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</si>
  <si>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</si>
  <si>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</si>
  <si>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</si>
  <si>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</si>
  <si>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</si>
  <si>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</si>
  <si>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</si>
  <si>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</si>
  <si>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</si>
  <si>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</si>
  <si>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</si>
  <si>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</si>
  <si>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</si>
  <si>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</si>
  <si>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</si>
  <si>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</si>
  <si>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</si>
  <si>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</si>
  <si>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</si>
  <si>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</si>
  <si>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</si>
  <si>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</si>
  <si>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</si>
  <si>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</si>
  <si>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</si>
  <si>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</si>
  <si>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</si>
  <si>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</si>
  <si>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</si>
  <si>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</si>
  <si>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</si>
  <si>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</si>
  <si>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</si>
  <si>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</si>
  <si>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</si>
  <si>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</si>
  <si>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</si>
  <si>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</si>
  <si>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</si>
  <si>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</si>
  <si>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</si>
  <si>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</si>
  <si>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</si>
  <si>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</si>
  <si>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</si>
  <si>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</si>
  <si>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</si>
  <si>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</si>
  <si>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</si>
  <si>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</si>
  <si>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</si>
  <si>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</si>
  <si>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</si>
  <si>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</si>
  <si>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</si>
  <si>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</si>
  <si>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</si>
  <si>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</si>
  <si>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</si>
  <si>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</si>
  <si>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</si>
  <si>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</si>
  <si>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</si>
  <si>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</si>
  <si>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</si>
  <si>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</si>
  <si>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</si>
  <si>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</si>
  <si>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</si>
  <si>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</si>
  <si>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</si>
  <si>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</si>
  <si>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</si>
  <si>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</si>
  <si>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</si>
  <si>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</si>
  <si>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</si>
  <si>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</si>
  <si>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</si>
  <si>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</si>
  <si>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</si>
  <si>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</si>
  <si>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</si>
  <si>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</si>
  <si>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</si>
  <si>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</si>
  <si>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</si>
  <si>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</si>
  <si>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</si>
  <si>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</si>
  <si>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</si>
  <si>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</si>
  <si>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</si>
  <si>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</si>
  <si>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</si>
  <si>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</si>
  <si>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</si>
  <si>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</si>
  <si>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</si>
  <si>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</si>
  <si>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</si>
  <si>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</si>
  <si>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</si>
  <si>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</si>
  <si>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</si>
  <si>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</si>
  <si>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</si>
  <si>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</si>
  <si>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</si>
  <si>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</si>
  <si>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</si>
  <si>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</si>
  <si>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</si>
  <si>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</si>
  <si>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</si>
  <si>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</si>
  <si>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</si>
  <si>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</si>
  <si>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</si>
  <si>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</si>
  <si>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</si>
  <si>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</si>
  <si>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</si>
  <si>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</si>
  <si>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</si>
  <si>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</si>
  <si>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</si>
  <si>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</si>
  <si>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</si>
  <si>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</si>
  <si>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</si>
  <si>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</si>
  <si>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</si>
  <si>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</si>
  <si>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</si>
  <si>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</si>
  <si>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</si>
  <si>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</si>
  <si>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</si>
  <si>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</si>
  <si>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</si>
  <si>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</si>
  <si>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</si>
  <si>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</si>
  <si>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</si>
  <si>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</si>
  <si>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</si>
  <si>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</si>
  <si>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</si>
  <si>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</si>
  <si>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</si>
  <si>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</si>
  <si>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</si>
  <si>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</si>
  <si>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</si>
  <si>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</si>
  <si>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</si>
  <si>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</si>
  <si>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</si>
  <si>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</si>
  <si>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</si>
  <si>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</si>
  <si>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</si>
  <si>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</si>
  <si>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</si>
  <si>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</si>
  <si>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</si>
  <si>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</si>
  <si>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</si>
  <si>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</si>
  <si>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</si>
  <si>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</si>
  <si>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</si>
  <si>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</si>
  <si>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</si>
  <si>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</si>
  <si>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</si>
  <si>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</si>
  <si>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</si>
  <si>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</si>
  <si>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</si>
  <si>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</si>
  <si>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</si>
  <si>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</si>
  <si>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</si>
  <si>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</si>
  <si>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</si>
  <si>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</si>
  <si>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</si>
  <si>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</si>
  <si>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</si>
  <si>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</si>
  <si>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</si>
  <si>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</si>
  <si>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</si>
  <si>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</si>
  <si>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</si>
  <si>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</si>
  <si>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</si>
  <si>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</si>
  <si>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</si>
  <si>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</si>
  <si>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</si>
  <si>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</si>
  <si>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</si>
  <si>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</si>
  <si>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</si>
  <si>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</si>
  <si>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</si>
  <si>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</si>
  <si>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</si>
  <si>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</si>
  <si>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</si>
  <si>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</si>
  <si>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</si>
  <si>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</si>
  <si>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</si>
  <si>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</si>
  <si>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</si>
  <si>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</si>
  <si>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</si>
  <si>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</si>
  <si>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</si>
  <si>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</si>
  <si>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</si>
  <si>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</si>
  <si>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</si>
  <si>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</si>
  <si>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</si>
  <si>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</si>
  <si>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</si>
  <si>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</si>
  <si>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</si>
  <si>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</si>
  <si>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</si>
  <si>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</si>
  <si>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</si>
  <si>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</si>
  <si>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</si>
  <si>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</si>
  <si>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</si>
  <si>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</si>
  <si>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</si>
  <si>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</si>
  <si>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</si>
  <si>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</si>
  <si>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</si>
  <si>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</si>
  <si>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</si>
  <si>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</si>
  <si>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</si>
  <si>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</si>
  <si>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</si>
  <si>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</si>
  <si>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</si>
  <si>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</si>
  <si>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</si>
  <si>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</si>
  <si>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</si>
  <si>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</si>
  <si>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</si>
  <si>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</si>
  <si>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</si>
  <si>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</si>
  <si>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</si>
  <si>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</si>
  <si>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</si>
  <si>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</si>
  <si>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</si>
  <si>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</si>
  <si>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</si>
  <si>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</si>
  <si>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</si>
  <si>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</si>
  <si>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</si>
  <si>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</si>
  <si>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</si>
  <si>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</si>
  <si>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</si>
  <si>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</si>
  <si>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</si>
  <si>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</si>
  <si>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</si>
  <si>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</si>
  <si>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</si>
  <si>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</si>
  <si>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</si>
  <si>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</si>
  <si>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</si>
  <si>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</si>
  <si>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</si>
  <si>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</si>
  <si>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</si>
  <si>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</si>
  <si>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</si>
  <si>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</si>
  <si>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</si>
  <si>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</si>
  <si>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</si>
  <si>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</si>
  <si>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</si>
  <si>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</si>
  <si>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</si>
  <si>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</si>
  <si>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</si>
  <si>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</si>
  <si>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</si>
  <si>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</si>
  <si>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</si>
  <si>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</si>
  <si>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</si>
  <si>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</si>
  <si>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</si>
  <si>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</si>
  <si>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</si>
  <si>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</si>
  <si>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</si>
  <si>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</si>
  <si>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</si>
  <si>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</si>
  <si>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</si>
  <si>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</si>
  <si>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</si>
  <si>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</si>
  <si>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</si>
  <si>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</si>
  <si>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</si>
  <si>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</si>
  <si>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</si>
  <si>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</si>
  <si>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</si>
  <si>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</si>
  <si>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</si>
  <si>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</si>
  <si>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</si>
  <si>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</si>
  <si>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</si>
  <si>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</si>
  <si>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</si>
  <si>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</si>
  <si>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</si>
  <si>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</si>
  <si>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</si>
  <si>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</si>
  <si>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</si>
  <si>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</si>
  <si>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</si>
  <si>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</si>
  <si>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</si>
  <si>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</si>
  <si>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</si>
  <si>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</si>
  <si>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</si>
  <si>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</si>
  <si>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</si>
  <si>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</si>
  <si>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</si>
  <si>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</si>
  <si>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</si>
  <si>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</si>
  <si>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</si>
  <si>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</si>
  <si>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</si>
  <si>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</si>
  <si>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</si>
  <si>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</si>
  <si>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</si>
  <si>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</si>
  <si>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</si>
  <si>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</si>
  <si>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</si>
  <si>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</si>
  <si>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</si>
  <si>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</si>
  <si>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</si>
  <si>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</si>
  <si>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</si>
  <si>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</si>
  <si>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</si>
  <si>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</si>
  <si>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</si>
  <si>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</si>
  <si>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</si>
  <si>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</si>
  <si>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</si>
  <si>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</si>
  <si>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</si>
  <si>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</si>
  <si>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</si>
  <si>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</si>
  <si>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</si>
  <si>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</si>
  <si>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</si>
  <si>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</si>
  <si>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</si>
  <si>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</si>
  <si>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</si>
  <si>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</si>
  <si>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</si>
  <si>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</si>
  <si>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</si>
  <si>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</si>
  <si>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</si>
  <si>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</si>
  <si>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</si>
  <si>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</si>
  <si>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</si>
  <si>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</si>
  <si>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</si>
  <si>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</si>
  <si>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</si>
  <si>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</si>
  <si>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</si>
  <si>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</si>
  <si>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</si>
  <si>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</si>
  <si>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</si>
  <si>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</si>
  <si>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</si>
  <si>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</si>
  <si>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</si>
  <si>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</si>
  <si>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</si>
  <si>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</si>
  <si>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</si>
  <si>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</si>
  <si>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</si>
  <si>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</si>
  <si>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</si>
  <si>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</si>
  <si>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</si>
  <si>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</si>
  <si>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</si>
  <si>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</si>
  <si>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</si>
  <si>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</si>
  <si>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</si>
  <si>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</si>
  <si>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</si>
  <si>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</si>
  <si>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</si>
  <si>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</si>
  <si>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</si>
  <si>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</si>
  <si>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</si>
  <si>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</si>
  <si>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</si>
  <si>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</si>
  <si>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</si>
  <si>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</si>
  <si>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</si>
  <si>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</si>
  <si>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</si>
  <si>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</si>
  <si>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</si>
  <si>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</si>
  <si>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</si>
  <si>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</si>
  <si>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</si>
  <si>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</si>
  <si>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</si>
  <si>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</si>
  <si>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</si>
  <si>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</si>
  <si>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</si>
  <si>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</si>
  <si>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</si>
  <si>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</si>
  <si>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</si>
  <si>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</si>
  <si>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</si>
  <si>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</si>
  <si>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</si>
  <si>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</si>
  <si>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</si>
  <si>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</si>
  <si>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</si>
  <si>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</si>
  <si>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</si>
  <si>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</si>
  <si>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</si>
  <si>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</si>
  <si>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</si>
  <si>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</si>
  <si>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</si>
  <si>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</si>
  <si>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</si>
  <si>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</si>
  <si>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</si>
  <si>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</si>
  <si>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</si>
  <si>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</si>
  <si>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</si>
  <si>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</si>
  <si>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</si>
  <si>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</si>
  <si>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</si>
  <si>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</si>
  <si>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</si>
  <si>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</si>
  <si>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</si>
  <si>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</si>
  <si>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</si>
  <si>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</si>
  <si>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</si>
  <si>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</si>
  <si>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</si>
  <si>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</si>
  <si>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</si>
  <si>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</si>
  <si>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</si>
  <si>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</si>
  <si>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</si>
  <si>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</si>
  <si>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</si>
  <si>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</si>
  <si>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</si>
  <si>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</si>
  <si>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</si>
  <si>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</si>
  <si>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</si>
  <si>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</si>
  <si>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</si>
  <si>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</si>
  <si>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</si>
  <si>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</si>
  <si>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</si>
  <si>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</si>
  <si>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</si>
  <si>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</si>
  <si>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</si>
  <si>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</si>
  <si>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</si>
  <si>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</si>
  <si>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</si>
  <si>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</si>
  <si>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</si>
  <si>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</si>
  <si>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</si>
  <si>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</si>
  <si>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</si>
  <si>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</si>
  <si>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</si>
  <si>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</si>
  <si>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</si>
  <si>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</si>
  <si>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</si>
  <si>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</si>
  <si>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</si>
  <si>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</si>
  <si>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</si>
  <si>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</si>
  <si>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</si>
  <si>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</si>
  <si>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</si>
  <si>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</si>
  <si>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</si>
  <si>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</si>
  <si>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</si>
  <si>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</si>
  <si>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</si>
  <si>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</si>
  <si>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</si>
  <si>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</si>
  <si>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</si>
  <si>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</si>
  <si>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</si>
  <si>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</si>
  <si>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</si>
  <si>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</si>
  <si>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</si>
  <si>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</si>
  <si>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</si>
  <si>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</si>
  <si>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</si>
  <si>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</si>
  <si>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</si>
  <si>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</si>
  <si>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</si>
  <si>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</si>
  <si>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</si>
  <si>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</si>
  <si>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</si>
  <si>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</si>
  <si>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</si>
  <si>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</si>
  <si>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</si>
  <si>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</si>
  <si>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</si>
  <si>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</si>
  <si>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</si>
  <si>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</si>
  <si>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</si>
  <si>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</si>
  <si>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</si>
  <si>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</si>
  <si>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</si>
  <si>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</si>
  <si>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</si>
  <si>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</si>
  <si>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</si>
  <si>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</si>
  <si>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</si>
  <si>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</si>
  <si>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</si>
  <si>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</si>
  <si>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</si>
  <si>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</si>
  <si>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</si>
  <si>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</si>
  <si>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</si>
  <si>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</si>
  <si>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</si>
  <si>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</si>
  <si>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</si>
  <si>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</si>
  <si>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</si>
  <si>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</si>
  <si>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</si>
  <si>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</si>
  <si>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</si>
  <si>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</si>
  <si>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</si>
  <si>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</si>
  <si>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</si>
  <si>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</si>
  <si>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</si>
  <si>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</si>
  <si>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</si>
  <si>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</si>
  <si>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</si>
  <si>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</si>
  <si>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</si>
  <si>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</si>
  <si>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</si>
  <si>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</si>
  <si>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</si>
  <si>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</si>
  <si>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</si>
  <si>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</si>
  <si>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</si>
  <si>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</si>
  <si>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</si>
  <si>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</si>
  <si>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</si>
  <si>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</si>
  <si>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</si>
  <si>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</si>
  <si>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</si>
  <si>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</si>
  <si>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</si>
  <si>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</si>
  <si>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</si>
  <si>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</si>
  <si>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</si>
  <si>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</si>
  <si>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</si>
  <si>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</si>
  <si>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</si>
  <si>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</si>
  <si>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</si>
  <si>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</si>
  <si>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</si>
  <si>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</si>
  <si>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</si>
  <si>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</si>
  <si>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</si>
  <si>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</si>
  <si>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</si>
  <si>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</si>
  <si>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</si>
  <si>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</si>
  <si>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</si>
  <si>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</si>
  <si>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</si>
  <si>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</si>
  <si>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</si>
  <si>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</si>
  <si>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</si>
  <si>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</si>
  <si>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</si>
  <si>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</si>
  <si>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</si>
  <si>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</si>
  <si>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</si>
  <si>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</si>
  <si>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</si>
  <si>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</si>
  <si>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</si>
  <si>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</si>
  <si>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</si>
  <si>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</si>
  <si>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</si>
  <si>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</si>
  <si>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</si>
  <si>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</si>
  <si>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</si>
  <si>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</si>
  <si>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</si>
  <si>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</si>
  <si>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</si>
  <si>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</si>
  <si>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</si>
  <si>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</si>
  <si>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</si>
  <si>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</si>
  <si>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</si>
  <si>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</si>
  <si>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</si>
  <si>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</si>
  <si>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</si>
  <si>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</si>
  <si>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</si>
  <si>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</si>
  <si>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</si>
  <si>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</si>
  <si>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</si>
  <si>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</si>
  <si>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</si>
  <si>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</si>
  <si>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</si>
  <si>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</si>
  <si>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</si>
  <si>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</si>
  <si>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</si>
  <si>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</si>
  <si>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</si>
  <si>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</si>
  <si>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</si>
  <si>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</si>
  <si>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</si>
  <si>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</si>
  <si>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</si>
  <si>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</si>
  <si>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</si>
  <si>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</si>
  <si>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</si>
  <si>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</si>
  <si>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</si>
  <si>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</si>
  <si>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</si>
  <si>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</si>
  <si>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</si>
  <si>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</si>
  <si>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</si>
  <si>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</si>
  <si>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</si>
  <si>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</si>
  <si>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</si>
  <si>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</si>
  <si>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</si>
  <si>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</si>
  <si>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</si>
  <si>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</si>
  <si>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</si>
  <si>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</si>
  <si>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</si>
  <si>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</si>
  <si>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</si>
  <si>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</si>
  <si>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</si>
  <si>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</si>
  <si>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</si>
  <si>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</si>
  <si>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</si>
  <si>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</si>
  <si>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</si>
  <si>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</si>
  <si>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</si>
  <si>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</si>
  <si>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</si>
  <si>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</si>
  <si>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</si>
  <si>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</si>
  <si>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</si>
  <si>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</si>
  <si>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</si>
  <si>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</si>
  <si>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</si>
  <si>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</si>
  <si>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</si>
  <si>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</si>
  <si>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</si>
  <si>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</si>
  <si>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</si>
  <si>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</si>
  <si>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</si>
  <si>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</si>
  <si>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</si>
  <si>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</si>
  <si>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</si>
  <si>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</si>
  <si>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</si>
  <si>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</si>
  <si>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</si>
  <si>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</si>
  <si>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</si>
  <si>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</si>
  <si>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</si>
  <si>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</si>
  <si>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</si>
  <si>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</si>
  <si>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</si>
  <si>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</si>
  <si>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</si>
  <si>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</si>
  <si>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</si>
  <si>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</si>
  <si>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</si>
  <si>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</si>
  <si>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</si>
  <si>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</si>
  <si>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</si>
  <si>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</si>
  <si>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</si>
  <si>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</si>
  <si>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</si>
  <si>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</si>
  <si>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</si>
  <si>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</si>
  <si>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</si>
  <si>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</si>
  <si>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</si>
  <si>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</si>
  <si>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</si>
  <si>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</si>
  <si>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</si>
  <si>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</si>
  <si>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</si>
  <si>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</si>
  <si>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</si>
  <si>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</si>
  <si>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</si>
  <si>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</si>
  <si>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</si>
  <si>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</si>
  <si>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</si>
  <si>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</si>
  <si>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</si>
  <si>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</si>
  <si>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</si>
  <si>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</si>
  <si>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</si>
  <si>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</si>
  <si>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</si>
  <si>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</si>
  <si>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</si>
  <si>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</si>
  <si>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</si>
  <si>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</si>
  <si>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</si>
  <si>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</si>
  <si>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</si>
  <si>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</si>
  <si>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</si>
  <si>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</si>
  <si>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</si>
  <si>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</si>
  <si>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</si>
  <si>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</si>
  <si>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</si>
  <si>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</si>
  <si>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</si>
  <si>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</si>
  <si>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</si>
  <si>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</si>
  <si>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</si>
  <si>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</si>
  <si>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</si>
  <si>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</si>
  <si>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</si>
  <si>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</si>
  <si>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</si>
  <si>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X</t>
  </si>
  <si>
    <t>5WF.803.209</t>
  </si>
  <si>
    <t>5QS.804.455</t>
  </si>
  <si>
    <t>5qa803091_p0007_g0210003300_L</t>
  </si>
  <si>
    <t>KJLTVL411610R01</t>
  </si>
  <si>
    <t>66-59D364237</t>
  </si>
  <si>
    <t>5qa803091_p0007_g0210003200_L</t>
  </si>
  <si>
    <t>5qa803091_p0007_g0210003900_L</t>
  </si>
  <si>
    <t>5qa803091_p0007_g0210004300_L</t>
  </si>
  <si>
    <t>5qa803091_p0007_g0210004400_L</t>
  </si>
  <si>
    <t>5qa803091_p0007_g0210004900_L</t>
  </si>
  <si>
    <t>5qa802035b_051_ayps0001_L</t>
  </si>
  <si>
    <t>5QA.805.455</t>
  </si>
  <si>
    <t>5QA.803.105</t>
  </si>
  <si>
    <t>5QA.803.107</t>
  </si>
  <si>
    <t>5qa802035b_049_axps0001_L</t>
  </si>
  <si>
    <t>5Q0.810.063</t>
  </si>
  <si>
    <t>5qa802035b_017_rps0032_L</t>
  </si>
  <si>
    <t>5qa802035b_017_rps0033_L</t>
  </si>
  <si>
    <t>5qa802035b_017_rps0034_L</t>
  </si>
  <si>
    <t>5qa802035b_017_rps0035_L</t>
  </si>
  <si>
    <t>ST1610</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</si>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</sst>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1610</a:t>
          </a:r>
          <a:endParaRPr lang="pt-BR" sz="2800">
            <a:effectLst/>
          </a:endParaRPr>
        </a:p>
      </xdr:txBody>
    </xdr:sp>
    <xdr:clientData/>
  </xdr:twoCellAnchor>
  <xdr:twoCellAnchor>
    <xdr:from>
      <xdr:col>1</xdr:col>
      <xdr:colOff>0</xdr:colOff>
      <xdr:row>41</xdr:row>
      <xdr:rowOff>130175</xdr:rowOff>
    </xdr:from>
    <xdr:to>
      <xdr:col>9</xdr:col>
      <xdr:colOff>327025</xdr:colOff>
      <xdr:row>52</xdr:row>
      <xdr:rowOff>19340</xdr:rowOff>
    </xdr:to>
    <xdr:sp macro="" textlink="">
      <xdr:nvSpPr>
        <xdr:cNvPr id="14" name="Rechteck 28">
          <a:extLst>
            <a:ext uri="{FF2B5EF4-FFF2-40B4-BE49-F238E27FC236}">
              <a16:creationId xmlns:a16="http://schemas.microsoft.com/office/drawing/2014/main" xmlns="" id="{00000000-0008-0000-0100-00000E000000}"/>
            </a:ext>
          </a:extLst>
        </xdr:cNvPr>
        <xdr:cNvSpPr/>
      </xdr:nvSpPr>
      <xdr:spPr bwMode="auto">
        <a:xfrm>
          <a:off x="365125"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46</xdr:row>
      <xdr:rowOff>0</xdr:rowOff>
    </xdr:from>
    <xdr:to>
      <xdr:col>24</xdr:col>
      <xdr:colOff>256593</xdr:colOff>
      <xdr:row>47</xdr:row>
      <xdr:rowOff>55847</xdr:rowOff>
    </xdr:to>
    <xdr:sp macro="" textlink="">
      <xdr:nvSpPr>
        <xdr:cNvPr id="22" name="Text Box 147">
          <a:extLst>
            <a:ext uri="{FF2B5EF4-FFF2-40B4-BE49-F238E27FC236}">
              <a16:creationId xmlns:a16="http://schemas.microsoft.com/office/drawing/2014/main" xmlns="" id="{00000000-0008-0000-0100-000016000000}"/>
            </a:ext>
          </a:extLst>
        </xdr:cNvPr>
        <xdr:cNvSpPr txBox="1">
          <a:spLocks noChangeArrowheads="1"/>
        </xdr:cNvSpPr>
      </xdr:nvSpPr>
      <xdr:spPr bwMode="auto">
        <a:xfrm>
          <a:off x="6926821"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12x GEO 1610R01</a:t>
          </a:r>
        </a:p>
      </xdr:txBody>
    </xdr:sp>
    <xdr:clientData/>
  </xdr:twoCellAnchor>
  <xdr:twoCellAnchor>
    <xdr:from>
      <xdr:col>13</xdr:col>
      <xdr:colOff>8618</xdr:colOff>
      <xdr:row>46</xdr:row>
      <xdr:rowOff>76200</xdr:rowOff>
    </xdr:from>
    <xdr:to>
      <xdr:col>13</xdr:col>
      <xdr:colOff>173719</xdr:colOff>
      <xdr:row>47</xdr:row>
      <xdr:rowOff>15629</xdr:rowOff>
    </xdr:to>
    <xdr:sp macro="" textlink="">
      <xdr:nvSpPr>
        <xdr:cNvPr id="23" name="Oval 96">
          <a:extLst>
            <a:ext uri="{FF2B5EF4-FFF2-40B4-BE49-F238E27FC236}">
              <a16:creationId xmlns:a16="http://schemas.microsoft.com/office/drawing/2014/main" xmlns="" id="{00000000-0008-0000-0100-000017000000}"/>
            </a:ext>
          </a:extLst>
        </xdr:cNvPr>
        <xdr:cNvSpPr/>
      </xdr:nvSpPr>
      <xdr:spPr>
        <a:xfrm rot="10800000" flipH="1" flipV="1">
          <a:off x="6707868"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206375</xdr:rowOff>
    </xdr:from>
    <xdr:to>
      <xdr:col>8</xdr:col>
      <xdr:colOff>1075130</xdr:colOff>
      <xdr:row>51</xdr:row>
      <xdr:rowOff>130463</xdr:rowOff>
    </xdr:to>
    <xdr:sp macro="" textlink="">
      <xdr:nvSpPr>
        <xdr:cNvPr id="24" name="Textfeld 38">
          <a:extLst>
            <a:ext uri="{FF2B5EF4-FFF2-40B4-BE49-F238E27FC236}">
              <a16:creationId xmlns:a16="http://schemas.microsoft.com/office/drawing/2014/main" xmlns="" id="{00000000-0008-0000-0100-000018000000}"/>
            </a:ext>
          </a:extLst>
        </xdr:cNvPr>
        <xdr:cNvSpPr txBox="1"/>
      </xdr:nvSpPr>
      <xdr:spPr>
        <a:xfrm>
          <a:off x="929368"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364237/186</a:t>
          </a:r>
          <a:endParaRPr lang="pt-BR" sz="1800">
            <a:effectLst/>
          </a:endParaRPr>
        </a:p>
      </xdr:txBody>
    </xdr:sp>
    <xdr:clientData/>
  </xdr:twoCellAnchor>
  <xdr:twoCellAnchor>
    <xdr:from>
      <xdr:col>3</xdr:col>
      <xdr:colOff>119742</xdr:colOff>
      <xdr:row>50</xdr:row>
      <xdr:rowOff>79375</xdr:rowOff>
    </xdr:from>
    <xdr:to>
      <xdr:col>3</xdr:col>
      <xdr:colOff>284843</xdr:colOff>
      <xdr:row>51</xdr:row>
      <xdr:rowOff>34679</xdr:rowOff>
    </xdr:to>
    <xdr:sp macro="" textlink="">
      <xdr:nvSpPr>
        <xdr:cNvPr id="25" name="Oval 96">
          <a:extLst>
            <a:ext uri="{FF2B5EF4-FFF2-40B4-BE49-F238E27FC236}">
              <a16:creationId xmlns:a16="http://schemas.microsoft.com/office/drawing/2014/main" xmlns="" id="{00000000-0008-0000-0100-000019000000}"/>
            </a:ext>
          </a:extLst>
        </xdr:cNvPr>
        <xdr:cNvSpPr/>
      </xdr:nvSpPr>
      <xdr:spPr>
        <a:xfrm rot="10800000" flipH="1" flipV="1">
          <a:off x="1040492"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373743</xdr:colOff>
      <xdr:row>42</xdr:row>
      <xdr:rowOff>15875</xdr:rowOff>
    </xdr:from>
    <xdr:to>
      <xdr:col>8</xdr:col>
      <xdr:colOff>1103996</xdr:colOff>
      <xdr:row>49</xdr:row>
      <xdr:rowOff>216027</xdr:rowOff>
    </xdr:to>
    <xdr:pic>
      <xdr:nvPicPr>
        <xdr:cNvPr id="26" name="Imagem 25">
          <a:extLst>
            <a:ext uri="{FF2B5EF4-FFF2-40B4-BE49-F238E27FC236}">
              <a16:creationId xmlns:a16="http://schemas.microsoft.com/office/drawing/2014/main" xmlns="" id="{00000000-0008-0000-0100-00001A000000}"/>
            </a:ext>
          </a:extLst>
        </xdr:cNvPr>
        <xdr:cNvPicPr>
          <a:picLocks noChangeAspect="1"/>
        </xdr:cNvPicPr>
      </xdr:nvPicPr>
      <xdr:blipFill>
        <a:blip xmlns:r="http://schemas.openxmlformats.org/officeDocument/2006/relationships" r:embed="rId2"/>
        <a:stretch>
          <a:fillRect/>
        </a:stretch>
      </xdr:blipFill>
      <xdr:spPr>
        <a:xfrm rot="16200000">
          <a:off x="1503981" y="8759887"/>
          <a:ext cx="1755902" cy="2936878"/>
        </a:xfrm>
        <a:prstGeom prst="rect">
          <a:avLst/>
        </a:prstGeom>
      </xdr:spPr>
    </xdr:pic>
    <xdr:clientData/>
  </xdr:twoCellAnchor>
  <xdr:twoCellAnchor editAs="oneCell">
    <xdr:from>
      <xdr:col>10</xdr:col>
      <xdr:colOff>294368</xdr:colOff>
      <xdr:row>11</xdr:row>
      <xdr:rowOff>63500</xdr:rowOff>
    </xdr:from>
    <xdr:to>
      <xdr:col>33</xdr:col>
      <xdr:colOff>536330</xdr:colOff>
      <xdr:row>37</xdr:row>
      <xdr:rowOff>47625</xdr:rowOff>
    </xdr:to>
    <xdr:pic>
      <xdr:nvPicPr>
        <xdr:cNvPr id="27" name="Imagem 26">
          <a:extLst>
            <a:ext uri="{FF2B5EF4-FFF2-40B4-BE49-F238E27FC236}">
              <a16:creationId xmlns:a16="http://schemas.microsoft.com/office/drawing/2014/main" xmlns="" id="{00000000-0008-0000-0100-00001B000000}"/>
            </a:ext>
          </a:extLst>
        </xdr:cNvPr>
        <xdr:cNvPicPr>
          <a:picLocks noChangeAspect="1"/>
        </xdr:cNvPicPr>
      </xdr:nvPicPr>
      <xdr:blipFill>
        <a:blip xmlns:r="http://schemas.openxmlformats.org/officeDocument/2006/relationships" r:embed="rId3"/>
        <a:stretch>
          <a:fillRect/>
        </a:stretch>
      </xdr:blipFill>
      <xdr:spPr>
        <a:xfrm>
          <a:off x="4644118" y="2508250"/>
          <a:ext cx="11989462" cy="5762625"/>
        </a:xfrm>
        <a:prstGeom prst="rect">
          <a:avLst/>
        </a:prstGeom>
      </xdr:spPr>
    </xdr:pic>
    <xdr:clientData/>
  </xdr:twoCellAnchor>
  <xdr:twoCellAnchor editAs="oneCell">
    <xdr:from>
      <xdr:col>10</xdr:col>
      <xdr:colOff>206375</xdr:colOff>
      <xdr:row>34</xdr:row>
      <xdr:rowOff>158750</xdr:rowOff>
    </xdr:from>
    <xdr:to>
      <xdr:col>21</xdr:col>
      <xdr:colOff>428625</xdr:colOff>
      <xdr:row>37</xdr:row>
      <xdr:rowOff>127000</xdr:rowOff>
    </xdr:to>
    <xdr:pic>
      <xdr:nvPicPr>
        <xdr:cNvPr id="6" name="Imagem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4"/>
        <a:stretch>
          <a:fillRect/>
        </a:stretch>
      </xdr:blipFill>
      <xdr:spPr>
        <a:xfrm>
          <a:off x="4556125" y="7715250"/>
          <a:ext cx="6381750" cy="635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M47" sqref="M47:AJ47"/>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1610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1949</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44"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K49" sqref="K49"/>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1610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ST1610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zoomScale="85" zoomScaleNormal="85" zoomScaleSheetLayoutView="40" zoomScalePageLayoutView="10" workbookViewId="0">
      <selection activeCell="E6" sqref="E6:E8"/>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1950</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7.1013200000000003</v>
      </c>
      <c r="D19" s="308" t="s">
        <v>1931</v>
      </c>
      <c r="E19" s="309" t="s">
        <v>1188</v>
      </c>
      <c r="F19" s="310" t="s">
        <v>1932</v>
      </c>
      <c r="G19" s="336" t="s">
        <v>1928</v>
      </c>
      <c r="H19" s="311" t="s">
        <v>1933</v>
      </c>
      <c r="I19" s="478" t="s">
        <v>1188</v>
      </c>
      <c r="J19" s="312">
        <v>502.1</v>
      </c>
      <c r="K19" s="313">
        <v>-419.17</v>
      </c>
      <c r="L19" s="314">
        <v>-75.92</v>
      </c>
      <c r="M19" s="315" t="s">
        <v>1929</v>
      </c>
      <c r="N19" s="316" t="s">
        <v>1930</v>
      </c>
      <c r="O19" s="317" t="s">
        <v>1188</v>
      </c>
      <c r="P19" s="502">
        <v>2</v>
      </c>
      <c r="Q19" s="320" t="s">
        <v>1129</v>
      </c>
      <c r="R19" s="318">
        <f>IF(AND(ISBLANK(P19),ISTEXT(Q19)),"t1?",IF(AND(ISBLANK(Q19),ISBLANK(P19)),"",VLOOKUP(BH19,Materialliste!$A$2:$B$1615,2,FALSE)))</f>
        <v>1250</v>
      </c>
      <c r="S19" s="319">
        <v>1.4</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1.52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3.6611018181818187</v>
      </c>
      <c r="AC19" s="322">
        <f>IF(AND(BT19="J",OR(G19="C",G19="X")),39,IF(AND(BT19="N",OR(G19="C",G19="X")),IF(Z19="BLECH?","",IF(AND(BX19=TRUE,BZ19=TRUE),IF(Z19&lt;=2,((1.13*Z19+7.1+BY19)+(1.13*Z19+7.1+CA19))/2*BW19,((1.5*Z19+5.8+BY19)+(1.5*Z19+5.8+CA19))/2*BW19),IF(Z19&lt;=2,(1.13*Z19+7.1+BY19+CA19)*BW19,(1.5*Z19+5.8+BY19+CA19)*BW19))),IF(OR(G19="B",G19="S"),6,IF(G19="R",7,IF(AND(G19="M",BT19="N"),4.3,IF(AND(G19="M",BT19="J"),"21",""))))))</f>
        <v>6.8999599999999992</v>
      </c>
      <c r="AD19" s="323">
        <f t="shared" ref="AD19:AD25" si="1">IF(OR(ISBLANK(G19),Z19="BLECH?"),"",IF(AND(BT19="J",G19="C"),60,IF(G19="B",60,IF(G19="R",150,IF(G19="S",90,IF(AND(G19="m",BT19="n"),350,IF(AND(G19="m",BT19="j"),50,MAX(MIN((((P19+S19+V19-1.4)*(600/4.6))+200)+BU19,900),200))))))))</f>
        <v>760.86956521739125</v>
      </c>
      <c r="AE19" s="324">
        <f>IF(AND(BT19="J",OR(G19="C",G19="X")),AB19*1,IF(OR(G19="C",G19="X"),AB19*BV19,IF(ISBLANK(G19),AB19,AB19*1)))</f>
        <v>2.5627712727272729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4.141255848169731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v>
      </c>
      <c r="BN19" s="475">
        <f>LARGE(BO19:BQ19,2)</f>
        <v>1.4</v>
      </c>
      <c r="BO19" s="474">
        <f t="shared" ref="BO19:BO43" si="7">P19</f>
        <v>2</v>
      </c>
      <c r="BP19" s="474">
        <f t="shared" ref="BP19:BP43" si="8">S19</f>
        <v>1.4</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7.1013299999999999</v>
      </c>
      <c r="D20" s="333" t="s">
        <v>1934</v>
      </c>
      <c r="E20" s="334" t="s">
        <v>1188</v>
      </c>
      <c r="F20" s="335" t="s">
        <v>1932</v>
      </c>
      <c r="G20" s="336" t="s">
        <v>1928</v>
      </c>
      <c r="H20" s="337" t="s">
        <v>1933</v>
      </c>
      <c r="I20" s="479" t="s">
        <v>1188</v>
      </c>
      <c r="J20" s="338">
        <v>519.9</v>
      </c>
      <c r="K20" s="339">
        <v>-441.93</v>
      </c>
      <c r="L20" s="340">
        <v>-74.209999999999994</v>
      </c>
      <c r="M20" s="341" t="s">
        <v>1929</v>
      </c>
      <c r="N20" s="342" t="s">
        <v>1930</v>
      </c>
      <c r="O20" s="343" t="s">
        <v>1188</v>
      </c>
      <c r="P20" s="319">
        <v>2</v>
      </c>
      <c r="Q20" s="320" t="s">
        <v>1129</v>
      </c>
      <c r="R20" s="344">
        <f>IF(AND(ISBLANK(P20),ISTEXT(Q20)),"t1?",IF(AND(ISBLANK(Q20),ISBLANK(P20)),"",VLOOKUP(BH20,Materialliste!$A$2:$B$1615,2,FALSE)))</f>
        <v>1250</v>
      </c>
      <c r="S20" s="319">
        <v>1.4</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1.52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3.6611018181818187</v>
      </c>
      <c r="AC20" s="348">
        <f t="shared" ref="AC20:AC43" si="13">IF(AND(BT20="J",OR(G20="C",G20="X")),39,IF(OR(G20="C",G20="X"),IF(Z20="BLECH?","",IF(AND(BX20=TRUE,BZ20=TRUE),IF(Z20&lt;=2,((1.13*Z20+7.1+BY20)+(1.13*Z20+7.1+CA20))/2*BW20,((1.5*Z20+5.8+BY20)+(1.5*Z20+5.8+CA20))/2*BW20),IF(Z20&lt;=2,(1.13*Z20+7.1+BY20+CA20)*BW20,(1.5*Z20+5.8+BY20+CA20)*BW20))),IF(OR(G20="B",G20="S"),6,IF(G20="R",7,IF(AND(G20="M",BT20="N"),4.3,IF(AND(G20="M",BT20="J"),"21",""))))))</f>
        <v>6.8999599999999992</v>
      </c>
      <c r="AD20" s="323">
        <f t="shared" si="1"/>
        <v>760.86956521739125</v>
      </c>
      <c r="AE20" s="349">
        <f t="shared" ref="AE20:AE43" si="14">IF(AND(BT20="J",OR(G20="C",G20="X")),AB20*1,IF(OR(G20="C",G20="X"),AB20*BV20,IF(ISBLANK(G20),AB20,AB20*1)))</f>
        <v>2.5627712727272729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4.141255848169731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CR440Y780T-DP-EG12/12</v>
      </c>
      <c r="BJ20" s="473">
        <f t="shared" si="5"/>
        <v>0</v>
      </c>
      <c r="BM20" s="474">
        <f t="shared" si="6"/>
        <v>2</v>
      </c>
      <c r="BN20" s="475">
        <f t="shared" ref="BN20:BN43" si="22">LARGE(BO20:BQ20,2)</f>
        <v>1.4</v>
      </c>
      <c r="BO20" s="474">
        <f t="shared" si="7"/>
        <v>2</v>
      </c>
      <c r="BP20" s="474">
        <f t="shared" si="8"/>
        <v>1.4</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7.1013400000000004</v>
      </c>
      <c r="D21" s="333" t="s">
        <v>1935</v>
      </c>
      <c r="E21" s="334" t="s">
        <v>1188</v>
      </c>
      <c r="F21" s="335" t="s">
        <v>1932</v>
      </c>
      <c r="G21" s="336" t="s">
        <v>1928</v>
      </c>
      <c r="H21" s="337" t="s">
        <v>1933</v>
      </c>
      <c r="I21" s="479" t="s">
        <v>1188</v>
      </c>
      <c r="J21" s="338">
        <v>553.33000000000004</v>
      </c>
      <c r="K21" s="339">
        <v>-421.84</v>
      </c>
      <c r="L21" s="340">
        <v>-73.62</v>
      </c>
      <c r="M21" s="341" t="s">
        <v>1929</v>
      </c>
      <c r="N21" s="342" t="s">
        <v>1930</v>
      </c>
      <c r="O21" s="343" t="s">
        <v>1188</v>
      </c>
      <c r="P21" s="319">
        <v>2</v>
      </c>
      <c r="Q21" s="320" t="s">
        <v>1129</v>
      </c>
      <c r="R21" s="355">
        <f>IF(AND(ISBLANK(P21),ISTEXT(Q21)),"t1?",IF(AND(ISBLANK(Q21),ISBLANK(P21)),"",VLOOKUP(BH21,Materialliste!$A$2:$B$1615,2,FALSE)))</f>
        <v>1250</v>
      </c>
      <c r="S21" s="319">
        <v>1.4</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1.52</v>
      </c>
      <c r="AA21" s="347">
        <f t="shared" si="11"/>
        <v>1.1727272727272728</v>
      </c>
      <c r="AB21" s="454">
        <f t="shared" si="12"/>
        <v>3.6611018181818187</v>
      </c>
      <c r="AC21" s="348">
        <f t="shared" si="13"/>
        <v>6.8999599999999992</v>
      </c>
      <c r="AD21" s="323">
        <f t="shared" si="1"/>
        <v>760.86956521739125</v>
      </c>
      <c r="AE21" s="349">
        <f t="shared" si="14"/>
        <v>2.5627712727272729</v>
      </c>
      <c r="AF21" s="480">
        <f t="shared" si="15"/>
        <v>4.141255848169731</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CR440Y780T-DP-EG12/12</v>
      </c>
      <c r="BJ21" s="473">
        <f t="shared" si="5"/>
        <v>0</v>
      </c>
      <c r="BM21" s="474">
        <f t="shared" si="6"/>
        <v>2</v>
      </c>
      <c r="BN21" s="475">
        <f t="shared" si="22"/>
        <v>1.4</v>
      </c>
      <c r="BO21" s="474">
        <f t="shared" si="7"/>
        <v>2</v>
      </c>
      <c r="BP21" s="474">
        <f t="shared" si="8"/>
        <v>1.4</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7.1013500000000001</v>
      </c>
      <c r="D22" s="333" t="s">
        <v>1936</v>
      </c>
      <c r="E22" s="334" t="s">
        <v>1188</v>
      </c>
      <c r="F22" s="335" t="s">
        <v>1932</v>
      </c>
      <c r="G22" s="336" t="s">
        <v>1928</v>
      </c>
      <c r="H22" s="337" t="s">
        <v>1933</v>
      </c>
      <c r="I22" s="479" t="s">
        <v>1188</v>
      </c>
      <c r="J22" s="338">
        <v>612.55999999999995</v>
      </c>
      <c r="K22" s="339">
        <v>-424.41</v>
      </c>
      <c r="L22" s="340">
        <v>-73.989999999999995</v>
      </c>
      <c r="M22" s="341" t="s">
        <v>1929</v>
      </c>
      <c r="N22" s="342" t="s">
        <v>1930</v>
      </c>
      <c r="O22" s="343" t="s">
        <v>1188</v>
      </c>
      <c r="P22" s="319">
        <v>2</v>
      </c>
      <c r="Q22" s="320" t="s">
        <v>1129</v>
      </c>
      <c r="R22" s="355">
        <f>IF(AND(ISBLANK(P22),ISTEXT(Q22)),"t1?",IF(AND(ISBLANK(Q22),ISBLANK(P22)),"",VLOOKUP(BH22,Materialliste!$A$2:$B$1615,2,FALSE)))</f>
        <v>1250</v>
      </c>
      <c r="S22" s="319">
        <v>1.4</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1.52</v>
      </c>
      <c r="AA22" s="347">
        <f t="shared" si="11"/>
        <v>1.1727272727272728</v>
      </c>
      <c r="AB22" s="454">
        <f t="shared" si="12"/>
        <v>3.6611018181818187</v>
      </c>
      <c r="AC22" s="348">
        <f t="shared" si="13"/>
        <v>6.8999599999999992</v>
      </c>
      <c r="AD22" s="323">
        <f t="shared" si="1"/>
        <v>760.86956521739125</v>
      </c>
      <c r="AE22" s="349">
        <f t="shared" si="14"/>
        <v>2.5627712727272729</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f t="shared" si="5"/>
        <v>0</v>
      </c>
      <c r="BM22" s="474">
        <f t="shared" si="6"/>
        <v>2</v>
      </c>
      <c r="BN22" s="475">
        <f t="shared" si="22"/>
        <v>1.4</v>
      </c>
      <c r="BO22" s="474">
        <f t="shared" si="7"/>
        <v>2</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7.1013599999999997</v>
      </c>
      <c r="D23" s="333" t="s">
        <v>1937</v>
      </c>
      <c r="E23" s="334" t="s">
        <v>1188</v>
      </c>
      <c r="F23" s="335" t="s">
        <v>1932</v>
      </c>
      <c r="G23" s="336" t="s">
        <v>1928</v>
      </c>
      <c r="H23" s="337" t="s">
        <v>1933</v>
      </c>
      <c r="I23" s="479" t="s">
        <v>1188</v>
      </c>
      <c r="J23" s="338">
        <v>627.16</v>
      </c>
      <c r="K23" s="339">
        <v>-449.72</v>
      </c>
      <c r="L23" s="340">
        <v>-72.33</v>
      </c>
      <c r="M23" s="342" t="s">
        <v>1929</v>
      </c>
      <c r="N23" s="342" t="s">
        <v>1930</v>
      </c>
      <c r="O23" s="342" t="s">
        <v>1188</v>
      </c>
      <c r="P23" s="319">
        <v>2</v>
      </c>
      <c r="Q23" s="320" t="s">
        <v>1129</v>
      </c>
      <c r="R23" s="355">
        <f>IF(AND(ISBLANK(P23),ISTEXT(Q23)),"t1?",IF(AND(ISBLANK(Q23),ISBLANK(P23)),"",VLOOKUP(BH23,Materialliste!$A$2:$B$1615,2,FALSE)))</f>
        <v>1250</v>
      </c>
      <c r="S23" s="319">
        <v>1.4</v>
      </c>
      <c r="T23" s="320" t="s">
        <v>1001</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1.52</v>
      </c>
      <c r="AA23" s="347">
        <f t="shared" si="11"/>
        <v>1.1727272727272728</v>
      </c>
      <c r="AB23" s="454">
        <f t="shared" si="12"/>
        <v>3.6611018181818187</v>
      </c>
      <c r="AC23" s="348">
        <f t="shared" si="13"/>
        <v>6.8999599999999992</v>
      </c>
      <c r="AD23" s="323">
        <f t="shared" si="1"/>
        <v>760.86956521739125</v>
      </c>
      <c r="AE23" s="349">
        <f t="shared" si="14"/>
        <v>2.5627712727272729</v>
      </c>
      <c r="AF23" s="480">
        <f t="shared" si="15"/>
        <v>4.141255848169731</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CR440Y780T-DP-EG12/12</v>
      </c>
      <c r="BJ23" s="473">
        <f t="shared" si="5"/>
        <v>0</v>
      </c>
      <c r="BM23" s="474">
        <f t="shared" si="6"/>
        <v>2</v>
      </c>
      <c r="BN23" s="475">
        <f>LARGE(BO23:BQ23,2)</f>
        <v>1.4</v>
      </c>
      <c r="BO23" s="474">
        <f t="shared" si="7"/>
        <v>2</v>
      </c>
      <c r="BP23" s="474">
        <f t="shared" si="8"/>
        <v>1.4</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7.1013700000000002</v>
      </c>
      <c r="D24" s="333" t="s">
        <v>1938</v>
      </c>
      <c r="E24" s="334" t="s">
        <v>1188</v>
      </c>
      <c r="F24" s="335" t="s">
        <v>1932</v>
      </c>
      <c r="G24" s="336" t="s">
        <v>1928</v>
      </c>
      <c r="H24" s="337" t="s">
        <v>1933</v>
      </c>
      <c r="I24" s="479" t="s">
        <v>1188</v>
      </c>
      <c r="J24" s="338">
        <v>670.17</v>
      </c>
      <c r="K24" s="339">
        <v>-451.13</v>
      </c>
      <c r="L24" s="340">
        <v>-72.84</v>
      </c>
      <c r="M24" s="342" t="s">
        <v>1929</v>
      </c>
      <c r="N24" s="342" t="s">
        <v>1930</v>
      </c>
      <c r="O24" s="342" t="s">
        <v>1188</v>
      </c>
      <c r="P24" s="319">
        <v>2</v>
      </c>
      <c r="Q24" s="320" t="s">
        <v>1129</v>
      </c>
      <c r="R24" s="355">
        <f>IF(AND(ISBLANK(P24),ISTEXT(Q24)),"t1?",IF(AND(ISBLANK(Q24),ISBLANK(P24)),"",VLOOKUP(BH24,Materialliste!$A$2:$B$1615,2,FALSE)))</f>
        <v>1250</v>
      </c>
      <c r="S24" s="319">
        <v>1.4</v>
      </c>
      <c r="T24" s="320" t="s">
        <v>1001</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1.52</v>
      </c>
      <c r="AA24" s="347">
        <f t="shared" si="11"/>
        <v>1.1727272727272728</v>
      </c>
      <c r="AB24" s="454">
        <f t="shared" si="12"/>
        <v>3.6611018181818187</v>
      </c>
      <c r="AC24" s="348">
        <f t="shared" si="13"/>
        <v>6.8999599999999992</v>
      </c>
      <c r="AD24" s="323">
        <f t="shared" si="1"/>
        <v>760.86956521739125</v>
      </c>
      <c r="AE24" s="349">
        <f t="shared" si="14"/>
        <v>2.5627712727272729</v>
      </c>
      <c r="AF24" s="480">
        <f t="shared" si="15"/>
        <v>4.141255848169731</v>
      </c>
      <c r="AG24" s="482" t="str">
        <f t="shared" si="16"/>
        <v/>
      </c>
      <c r="AH24" s="461" t="str">
        <f t="shared" si="2"/>
        <v>39D 1978-2</v>
      </c>
      <c r="AI24" s="350">
        <f t="shared" si="17"/>
        <v>6</v>
      </c>
      <c r="AJ24" s="350">
        <f t="shared" si="18"/>
        <v>50</v>
      </c>
      <c r="AK24" s="350">
        <f t="shared" si="19"/>
        <v>6</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f t="shared" si="5"/>
        <v>0</v>
      </c>
      <c r="BM24" s="474">
        <f t="shared" si="6"/>
        <v>2</v>
      </c>
      <c r="BN24" s="475">
        <f t="shared" si="22"/>
        <v>1.4</v>
      </c>
      <c r="BO24" s="474">
        <f t="shared" si="7"/>
        <v>2</v>
      </c>
      <c r="BP24" s="474">
        <f t="shared" si="8"/>
        <v>1.4</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7.1013799999999998</v>
      </c>
      <c r="D25" s="333" t="s">
        <v>1939</v>
      </c>
      <c r="E25" s="334" t="s">
        <v>1188</v>
      </c>
      <c r="F25" s="335" t="s">
        <v>1932</v>
      </c>
      <c r="G25" s="336" t="s">
        <v>1928</v>
      </c>
      <c r="H25" s="337" t="s">
        <v>1933</v>
      </c>
      <c r="I25" s="479" t="s">
        <v>1188</v>
      </c>
      <c r="J25" s="338">
        <v>-401.1</v>
      </c>
      <c r="K25" s="339">
        <v>-520</v>
      </c>
      <c r="L25" s="340">
        <v>295.99</v>
      </c>
      <c r="M25" s="342" t="s">
        <v>1940</v>
      </c>
      <c r="N25" s="342" t="s">
        <v>1941</v>
      </c>
      <c r="O25" s="342" t="s">
        <v>1942</v>
      </c>
      <c r="P25" s="319">
        <v>2.5</v>
      </c>
      <c r="Q25" s="320" t="s">
        <v>1001</v>
      </c>
      <c r="R25" s="355">
        <f>IF(AND(ISBLANK(P25),ISTEXT(Q25)),"t1?",IF(AND(ISBLANK(Q25),ISBLANK(P25)),"",VLOOKUP(BH25,Materialliste!$A$2:$B$1615,2,FALSE)))</f>
        <v>550</v>
      </c>
      <c r="S25" s="319">
        <v>2.1</v>
      </c>
      <c r="T25" s="320" t="s">
        <v>1001</v>
      </c>
      <c r="U25" s="355">
        <f>IF(AND(ISBLANK(S25),ISTEXT(T25)),"t2?",IF(AND(ISBLANK(T25),ISBLANK(S25)),"",VLOOKUP(BI25,Materialliste!$A$2:$B$1615,2,FALSE)))</f>
        <v>550</v>
      </c>
      <c r="V25" s="319">
        <v>1</v>
      </c>
      <c r="W25" s="320" t="s">
        <v>1004</v>
      </c>
      <c r="X25" s="355">
        <f>IF(AND(ISBLANK(V25),ISTEXT(W25)),"t3?",IF(AND(ISBLANK(W25),ISBLANK(V25)),"",VLOOKUP(BJ25,Materialliste!$A$2:$B$1615,2,FALSE)))</f>
        <v>550</v>
      </c>
      <c r="Y25" s="443" t="s">
        <v>1925</v>
      </c>
      <c r="Z25" s="346">
        <f t="shared" si="0"/>
        <v>2.1800000000000002</v>
      </c>
      <c r="AA25" s="347">
        <f t="shared" si="11"/>
        <v>1.1499999999999999</v>
      </c>
      <c r="AB25" s="454">
        <f t="shared" si="12"/>
        <v>4.7641000000000009</v>
      </c>
      <c r="AC25" s="348">
        <f t="shared" si="13"/>
        <v>9.9700000000000006</v>
      </c>
      <c r="AD25" s="323">
        <f t="shared" si="1"/>
        <v>747.82608695652164</v>
      </c>
      <c r="AE25" s="349">
        <f t="shared" si="14"/>
        <v>4.7641000000000009</v>
      </c>
      <c r="AF25" s="480">
        <f t="shared" si="15"/>
        <v>5.0719818611663037</v>
      </c>
      <c r="AG25" s="482">
        <f t="shared" si="16"/>
        <v>3.5</v>
      </c>
      <c r="AH25" s="461" t="str">
        <f t="shared" si="2"/>
        <v>39D 1978-2</v>
      </c>
      <c r="AI25" s="350">
        <f t="shared" si="17"/>
        <v>8</v>
      </c>
      <c r="AJ25" s="350">
        <f t="shared" si="18"/>
        <v>50</v>
      </c>
      <c r="AK25" s="350">
        <f t="shared" si="19"/>
        <v>8</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CR440Y780T-DP-EG12/12</v>
      </c>
      <c r="BI25" s="473" t="str">
        <f t="shared" si="4"/>
        <v>CR440Y780T-DP-EG12/12</v>
      </c>
      <c r="BJ25" s="473" t="str">
        <f t="shared" si="5"/>
        <v>CR440Y780T-DP-GI40/40</v>
      </c>
      <c r="BM25" s="474">
        <f t="shared" si="6"/>
        <v>2.5</v>
      </c>
      <c r="BN25" s="475">
        <f t="shared" si="22"/>
        <v>2.1</v>
      </c>
      <c r="BO25" s="474">
        <f t="shared" si="7"/>
        <v>2.5</v>
      </c>
      <c r="BP25" s="474">
        <f t="shared" si="8"/>
        <v>2.1</v>
      </c>
      <c r="BQ25" s="474">
        <f t="shared" si="9"/>
        <v>1</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0</v>
      </c>
      <c r="CA25" s="298">
        <f t="shared" si="29"/>
        <v>0</v>
      </c>
      <c r="CB25" s="331"/>
      <c r="CH25" s="306" t="str">
        <f t="shared" si="30"/>
        <v>39D 1978-2</v>
      </c>
      <c r="CL25" s="306" t="str">
        <f t="shared" si="31"/>
        <v>39D 1978-2</v>
      </c>
    </row>
    <row r="26" spans="1:90" ht="33" customHeight="1">
      <c r="A26" s="923"/>
      <c r="B26" s="281"/>
      <c r="C26" s="332">
        <v>7.1013900000000003</v>
      </c>
      <c r="D26" s="333" t="s">
        <v>1943</v>
      </c>
      <c r="E26" s="334" t="s">
        <v>1188</v>
      </c>
      <c r="F26" s="335" t="s">
        <v>1932</v>
      </c>
      <c r="G26" s="336" t="s">
        <v>1928</v>
      </c>
      <c r="H26" s="337" t="s">
        <v>1933</v>
      </c>
      <c r="I26" s="479" t="s">
        <v>1188</v>
      </c>
      <c r="J26" s="338">
        <v>-345.77</v>
      </c>
      <c r="K26" s="339">
        <v>-516.16999999999996</v>
      </c>
      <c r="L26" s="340">
        <v>293.33</v>
      </c>
      <c r="M26" s="342" t="s">
        <v>1941</v>
      </c>
      <c r="N26" s="342" t="s">
        <v>1944</v>
      </c>
      <c r="O26" s="342" t="s">
        <v>1942</v>
      </c>
      <c r="P26" s="319">
        <v>2.1</v>
      </c>
      <c r="Q26" s="320" t="s">
        <v>1001</v>
      </c>
      <c r="R26" s="355">
        <f>IF(AND(ISBLANK(P26),ISTEXT(Q26)),"t1?",IF(AND(ISBLANK(Q26),ISBLANK(P26)),"",VLOOKUP(BH26,Materialliste!$A$2:$B$1615,2,FALSE)))</f>
        <v>550</v>
      </c>
      <c r="S26" s="319">
        <v>2.5</v>
      </c>
      <c r="T26" s="320" t="s">
        <v>600</v>
      </c>
      <c r="U26" s="355">
        <f>IF(AND(ISBLANK(S26),ISTEXT(T26)),"t2?",IF(AND(ISBLANK(T26),ISBLANK(S26)),"",VLOOKUP(BI26,Materialliste!$A$2:$B$1615,2,FALSE)))</f>
        <v>350</v>
      </c>
      <c r="V26" s="319">
        <v>1</v>
      </c>
      <c r="W26" s="320" t="s">
        <v>1004</v>
      </c>
      <c r="X26" s="355">
        <f>IF(AND(ISBLANK(V26),ISTEXT(W26)),"t3?",IF(AND(ISBLANK(W26),ISBLANK(V26)),"",VLOOKUP(BJ26,Materialliste!$A$2:$B$1615,2,FALSE)))</f>
        <v>550</v>
      </c>
      <c r="Y26" s="443" t="s">
        <v>1925</v>
      </c>
      <c r="Z26" s="346">
        <f t="shared" si="0"/>
        <v>2.1800000000000002</v>
      </c>
      <c r="AA26" s="347">
        <f t="shared" si="11"/>
        <v>1.1196969696969696</v>
      </c>
      <c r="AB26" s="454">
        <f t="shared" si="12"/>
        <v>4.6570090909090913</v>
      </c>
      <c r="AC26" s="348">
        <f t="shared" si="13"/>
        <v>9.9700000000000006</v>
      </c>
      <c r="AD26" s="323">
        <f>IF(OR(ISBLANK(G26),Z26="BLECH?"),"",IF(AND(BT26="J",G26="C"),60,IF(G26="B",60,IF(G26="R",150,IF(G26="S",90,IF(AND(G26="m",BT26="n"),350,IF(AND(G26="m",BT26="j"),50,MAX(MIN((((P26+S26+V26-1.4)*(600/4.6))+200)+BU26,900),200))))))))</f>
        <v>747.82608695652164</v>
      </c>
      <c r="AE26" s="349">
        <f t="shared" si="14"/>
        <v>4.6570090909090913</v>
      </c>
      <c r="AF26" s="480">
        <f t="shared" si="15"/>
        <v>5.0719818611663037</v>
      </c>
      <c r="AG26" s="482">
        <f t="shared" si="16"/>
        <v>3.5</v>
      </c>
      <c r="AH26" s="461" t="str">
        <f t="shared" si="2"/>
        <v>39D 1978-2</v>
      </c>
      <c r="AI26" s="350">
        <f t="shared" si="17"/>
        <v>8</v>
      </c>
      <c r="AJ26" s="350">
        <f t="shared" si="18"/>
        <v>50</v>
      </c>
      <c r="AK26" s="350">
        <f t="shared" si="19"/>
        <v>8</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CR440Y780T-DP-EG12/12</v>
      </c>
      <c r="BI26" s="473" t="str">
        <f t="shared" si="4"/>
        <v>CR270LA-EG12/12</v>
      </c>
      <c r="BJ26" s="473" t="str">
        <f t="shared" si="5"/>
        <v>CR440Y780T-DP-GI40/40</v>
      </c>
      <c r="BM26" s="474">
        <f t="shared" si="6"/>
        <v>2.5</v>
      </c>
      <c r="BN26" s="475">
        <f t="shared" si="22"/>
        <v>2.1</v>
      </c>
      <c r="BO26" s="474">
        <f t="shared" si="7"/>
        <v>2.1</v>
      </c>
      <c r="BP26" s="474">
        <f t="shared" si="8"/>
        <v>2.5</v>
      </c>
      <c r="BQ26" s="474">
        <f t="shared" si="9"/>
        <v>1</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0</v>
      </c>
      <c r="CA26" s="298">
        <f t="shared" si="29"/>
        <v>0</v>
      </c>
      <c r="CB26" s="331"/>
      <c r="CH26" s="306" t="str">
        <f t="shared" si="30"/>
        <v>39D 1978-2</v>
      </c>
      <c r="CL26" s="306" t="str">
        <f t="shared" si="31"/>
        <v>39D 1978-2</v>
      </c>
    </row>
    <row r="27" spans="1:90" ht="33" customHeight="1">
      <c r="A27" s="923"/>
      <c r="B27" s="281"/>
      <c r="C27" s="510">
        <v>7.1013999999999999</v>
      </c>
      <c r="D27" s="333" t="s">
        <v>1945</v>
      </c>
      <c r="E27" s="334" t="s">
        <v>1188</v>
      </c>
      <c r="F27" s="335" t="s">
        <v>1932</v>
      </c>
      <c r="G27" s="336" t="s">
        <v>1928</v>
      </c>
      <c r="H27" s="337" t="s">
        <v>1933</v>
      </c>
      <c r="I27" s="479" t="s">
        <v>1188</v>
      </c>
      <c r="J27" s="338">
        <v>-91.22</v>
      </c>
      <c r="K27" s="339">
        <v>-496.1</v>
      </c>
      <c r="L27" s="340">
        <v>291.35000000000002</v>
      </c>
      <c r="M27" s="342" t="s">
        <v>1941</v>
      </c>
      <c r="N27" s="342" t="s">
        <v>1942</v>
      </c>
      <c r="O27" s="342" t="s">
        <v>1188</v>
      </c>
      <c r="P27" s="319">
        <v>2.1</v>
      </c>
      <c r="Q27" s="320" t="s">
        <v>1001</v>
      </c>
      <c r="R27" s="355">
        <f>IF(AND(ISBLANK(P27),ISTEXT(Q27)),"t1?",IF(AND(ISBLANK(Q27),ISBLANK(P27)),"",VLOOKUP(BH27,Materialliste!$A$2:$B$1615,2,FALSE)))</f>
        <v>550</v>
      </c>
      <c r="S27" s="319">
        <v>1.7</v>
      </c>
      <c r="T27" s="320" t="s">
        <v>1004</v>
      </c>
      <c r="U27" s="355">
        <f>IF(AND(ISBLANK(S27),ISTEXT(T27)),"t2?",IF(AND(ISBLANK(T27),ISBLANK(S27)),"",VLOOKUP(BI27,Materialliste!$A$2:$B$1615,2,FALSE)))</f>
        <v>550</v>
      </c>
      <c r="V27" s="319"/>
      <c r="W27" s="320"/>
      <c r="X27" s="355" t="str">
        <f>IF(AND(ISBLANK(V27),ISTEXT(W27)),"t3?",IF(AND(ISBLANK(W27),ISBLANK(V27)),"",VLOOKUP(BJ27,Materialliste!$A$2:$B$1615,2,FALSE)))</f>
        <v/>
      </c>
      <c r="Y27" s="443" t="s">
        <v>1925</v>
      </c>
      <c r="Z27" s="346">
        <f t="shared" si="0"/>
        <v>1.7800000000000002</v>
      </c>
      <c r="AA27" s="347">
        <f t="shared" si="11"/>
        <v>1.0666666666666667</v>
      </c>
      <c r="AB27" s="454">
        <f t="shared" si="12"/>
        <v>3.8038133333333333</v>
      </c>
      <c r="AC27" s="348">
        <f t="shared" si="13"/>
        <v>9.1113999999999997</v>
      </c>
      <c r="AD27" s="323">
        <f t="shared" ref="AD27:AD43" si="32">IF(OR(ISBLANK(G27),Z27="BLECH?"),"",IF(AND(BT27="J",G27="C"),60,IF(G27="B",60,IF(G27="R",150,IF(G27="S",90,IF(AND(G27="m",BT27="n"),350,IF(AND(G27="m",BT27="j"),50,MAX(MIN((((P27+S27+V27-1.4)*(600/4.6))+200)+BU27,900),200))))))))</f>
        <v>513.04347826086951</v>
      </c>
      <c r="AE27" s="349">
        <f t="shared" si="14"/>
        <v>3.8038133333333333</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CR440Y780T-DP-EG12/12</v>
      </c>
      <c r="BI27" s="473" t="str">
        <f t="shared" si="4"/>
        <v>CR440Y780T-DP-GI40/40</v>
      </c>
      <c r="BJ27" s="473">
        <f t="shared" si="5"/>
        <v>0</v>
      </c>
      <c r="BM27" s="474">
        <f t="shared" si="6"/>
        <v>2.1</v>
      </c>
      <c r="BN27" s="475">
        <f t="shared" si="22"/>
        <v>1.7</v>
      </c>
      <c r="BO27" s="474">
        <f t="shared" si="7"/>
        <v>2.1</v>
      </c>
      <c r="BP27" s="474">
        <f t="shared" si="8"/>
        <v>1.7</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0</v>
      </c>
      <c r="BY27" s="298">
        <f t="shared" si="27"/>
        <v>0</v>
      </c>
      <c r="BZ27" s="298" t="b">
        <f t="shared" si="28"/>
        <v>0</v>
      </c>
      <c r="CA27" s="298">
        <f t="shared" si="29"/>
        <v>0</v>
      </c>
      <c r="CB27" s="331"/>
      <c r="CH27" s="306" t="str">
        <f t="shared" si="30"/>
        <v>39D 1978-2</v>
      </c>
      <c r="CL27" s="306" t="str">
        <f t="shared" si="31"/>
        <v>39D 1978-2</v>
      </c>
    </row>
    <row r="28" spans="1:90" ht="33" customHeight="1">
      <c r="A28" s="923"/>
      <c r="B28" s="281"/>
      <c r="C28" s="332">
        <v>7.1014099999999996</v>
      </c>
      <c r="D28" s="333" t="s">
        <v>1946</v>
      </c>
      <c r="E28" s="334" t="s">
        <v>1188</v>
      </c>
      <c r="F28" s="335" t="s">
        <v>1932</v>
      </c>
      <c r="G28" s="336" t="s">
        <v>1928</v>
      </c>
      <c r="H28" s="337" t="s">
        <v>1933</v>
      </c>
      <c r="I28" s="476" t="s">
        <v>1188</v>
      </c>
      <c r="J28" s="338">
        <v>-56.25</v>
      </c>
      <c r="K28" s="339">
        <v>-487.93</v>
      </c>
      <c r="L28" s="340">
        <v>289.38</v>
      </c>
      <c r="M28" s="342" t="s">
        <v>1941</v>
      </c>
      <c r="N28" s="342" t="s">
        <v>1942</v>
      </c>
      <c r="O28" s="342" t="s">
        <v>1188</v>
      </c>
      <c r="P28" s="319">
        <v>2.1</v>
      </c>
      <c r="Q28" s="320" t="s">
        <v>1001</v>
      </c>
      <c r="R28" s="355">
        <f>IF(AND(ISBLANK(P28),ISTEXT(Q28)),"t1?",IF(AND(ISBLANK(Q28),ISBLANK(P28)),"",VLOOKUP(BH28,Materialliste!$A$2:$B$1615,2,FALSE)))</f>
        <v>550</v>
      </c>
      <c r="S28" s="319">
        <v>1.7</v>
      </c>
      <c r="T28" s="320" t="s">
        <v>1004</v>
      </c>
      <c r="U28" s="355">
        <f>IF(AND(ISBLANK(S28),ISTEXT(T28)),"t2?",IF(AND(ISBLANK(T28),ISBLANK(S28)),"",VLOOKUP(BI28,Materialliste!$A$2:$B$1615,2,FALSE)))</f>
        <v>550</v>
      </c>
      <c r="V28" s="319"/>
      <c r="W28" s="356"/>
      <c r="X28" s="355" t="str">
        <f>IF(AND(ISBLANK(V28),ISTEXT(W28)),"t3?",IF(AND(ISBLANK(W28),ISBLANK(V28)),"",VLOOKUP(BJ28,Materialliste!$A$2:$B$1615,2,FALSE)))</f>
        <v/>
      </c>
      <c r="Y28" s="443" t="s">
        <v>1925</v>
      </c>
      <c r="Z28" s="346">
        <f t="shared" si="0"/>
        <v>1.7800000000000002</v>
      </c>
      <c r="AA28" s="347">
        <f t="shared" si="11"/>
        <v>1.0666666666666667</v>
      </c>
      <c r="AB28" s="454">
        <f t="shared" si="12"/>
        <v>3.8038133333333333</v>
      </c>
      <c r="AC28" s="348">
        <f t="shared" si="13"/>
        <v>9.1113999999999997</v>
      </c>
      <c r="AD28" s="323">
        <f t="shared" si="32"/>
        <v>513.04347826086951</v>
      </c>
      <c r="AE28" s="349">
        <f t="shared" si="14"/>
        <v>3.8038133333333333</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CR440Y780T-DP-EG12/12</v>
      </c>
      <c r="BI28" s="473" t="str">
        <f t="shared" si="4"/>
        <v>CR440Y780T-DP-GI40/40</v>
      </c>
      <c r="BJ28" s="473">
        <f t="shared" si="5"/>
        <v>0</v>
      </c>
      <c r="BM28" s="474">
        <f t="shared" si="6"/>
        <v>2.1</v>
      </c>
      <c r="BN28" s="475">
        <f t="shared" si="22"/>
        <v>1.7</v>
      </c>
      <c r="BO28" s="474">
        <f t="shared" si="7"/>
        <v>2.1</v>
      </c>
      <c r="BP28" s="474">
        <f t="shared" si="8"/>
        <v>1.7</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0</v>
      </c>
      <c r="BY28" s="298">
        <f t="shared" si="27"/>
        <v>0</v>
      </c>
      <c r="BZ28" s="298" t="b">
        <f t="shared" si="28"/>
        <v>0</v>
      </c>
      <c r="CA28" s="298">
        <f t="shared" si="29"/>
        <v>0</v>
      </c>
      <c r="CB28" s="331"/>
      <c r="CH28" s="306" t="str">
        <f t="shared" si="30"/>
        <v>39D 1978-2</v>
      </c>
      <c r="CL28" s="306" t="str">
        <f t="shared" si="31"/>
        <v>39D 1978-2</v>
      </c>
    </row>
    <row r="29" spans="1:90" ht="33" customHeight="1">
      <c r="A29" s="923"/>
      <c r="B29" s="281"/>
      <c r="C29" s="332">
        <v>7.1014200000000001</v>
      </c>
      <c r="D29" s="333" t="s">
        <v>1947</v>
      </c>
      <c r="E29" s="334" t="s">
        <v>1188</v>
      </c>
      <c r="F29" s="335" t="s">
        <v>1932</v>
      </c>
      <c r="G29" s="336" t="s">
        <v>1928</v>
      </c>
      <c r="H29" s="337" t="s">
        <v>1933</v>
      </c>
      <c r="I29" s="476" t="s">
        <v>1188</v>
      </c>
      <c r="J29" s="338">
        <v>-13.95</v>
      </c>
      <c r="K29" s="339">
        <v>-478.4</v>
      </c>
      <c r="L29" s="340">
        <v>275.42</v>
      </c>
      <c r="M29" s="342" t="s">
        <v>1941</v>
      </c>
      <c r="N29" s="342" t="s">
        <v>1942</v>
      </c>
      <c r="O29" s="342" t="s">
        <v>1188</v>
      </c>
      <c r="P29" s="319">
        <v>2.1</v>
      </c>
      <c r="Q29" s="320" t="s">
        <v>1001</v>
      </c>
      <c r="R29" s="355">
        <f>IF(AND(ISBLANK(P29),ISTEXT(Q29)),"t1?",IF(AND(ISBLANK(Q29),ISBLANK(P29)),"",VLOOKUP(BH29,Materialliste!$A$2:$B$1615,2,FALSE)))</f>
        <v>550</v>
      </c>
      <c r="S29" s="319">
        <v>1.7</v>
      </c>
      <c r="T29" s="320" t="s">
        <v>1004</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1.0666666666666667</v>
      </c>
      <c r="AB29" s="454">
        <f t="shared" si="12"/>
        <v>3.8038133333333333</v>
      </c>
      <c r="AC29" s="348">
        <f t="shared" si="13"/>
        <v>9.1113999999999997</v>
      </c>
      <c r="AD29" s="323">
        <f t="shared" si="32"/>
        <v>513.04347826086951</v>
      </c>
      <c r="AE29" s="349">
        <f t="shared" si="14"/>
        <v>3.8038133333333333</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CR440Y780T-DP-EG12/12</v>
      </c>
      <c r="BI29" s="473" t="str">
        <f t="shared" si="4"/>
        <v>CR440Y780T-DP-GI40/40</v>
      </c>
      <c r="BJ29" s="473">
        <f t="shared" si="5"/>
        <v>0</v>
      </c>
      <c r="BM29" s="474">
        <f t="shared" si="6"/>
        <v>2.1</v>
      </c>
      <c r="BN29" s="475">
        <f t="shared" si="22"/>
        <v>1.7</v>
      </c>
      <c r="BO29" s="474">
        <f t="shared" si="7"/>
        <v>2.1</v>
      </c>
      <c r="BP29" s="474">
        <f t="shared" si="8"/>
        <v>1.7</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923"/>
      <c r="B30" s="281"/>
      <c r="C30" s="332">
        <v>7.1014299999999997</v>
      </c>
      <c r="D30" s="333" t="s">
        <v>1948</v>
      </c>
      <c r="E30" s="334" t="s">
        <v>1188</v>
      </c>
      <c r="F30" s="335" t="s">
        <v>1932</v>
      </c>
      <c r="G30" s="336" t="s">
        <v>1928</v>
      </c>
      <c r="H30" s="337" t="s">
        <v>1933</v>
      </c>
      <c r="I30" s="476" t="s">
        <v>1188</v>
      </c>
      <c r="J30" s="338">
        <v>35.49</v>
      </c>
      <c r="K30" s="339">
        <v>-475.43</v>
      </c>
      <c r="L30" s="340">
        <v>248.99</v>
      </c>
      <c r="M30" s="342" t="s">
        <v>1941</v>
      </c>
      <c r="N30" s="342" t="s">
        <v>1942</v>
      </c>
      <c r="O30" s="342" t="s">
        <v>1188</v>
      </c>
      <c r="P30" s="319">
        <v>2.1</v>
      </c>
      <c r="Q30" s="320" t="s">
        <v>1001</v>
      </c>
      <c r="R30" s="355">
        <f>IF(AND(ISBLANK(P30),ISTEXT(Q30)),"t1?",IF(AND(ISBLANK(Q30),ISBLANK(P30)),"",VLOOKUP(BH30,Materialliste!$A$2:$B$1615,2,FALSE)))</f>
        <v>550</v>
      </c>
      <c r="S30" s="319">
        <v>1.7</v>
      </c>
      <c r="T30" s="320" t="s">
        <v>1004</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1.0666666666666667</v>
      </c>
      <c r="AB30" s="454">
        <f t="shared" si="12"/>
        <v>3.8038133333333333</v>
      </c>
      <c r="AC30" s="348">
        <f t="shared" si="13"/>
        <v>9.1113999999999997</v>
      </c>
      <c r="AD30" s="323">
        <f t="shared" si="32"/>
        <v>513.04347826086951</v>
      </c>
      <c r="AE30" s="349">
        <f t="shared" si="14"/>
        <v>3.8038133333333333</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CR440Y780T-DP-EG12/12</v>
      </c>
      <c r="BI30" s="473" t="str">
        <f t="shared" si="4"/>
        <v>CR440Y780T-DP-GI40/40</v>
      </c>
      <c r="BJ30" s="473">
        <f t="shared" si="5"/>
        <v>0</v>
      </c>
      <c r="BM30" s="474">
        <f t="shared" si="6"/>
        <v>2.1</v>
      </c>
      <c r="BN30" s="475">
        <f t="shared" si="22"/>
        <v>1.7</v>
      </c>
      <c r="BO30" s="474">
        <f t="shared" si="7"/>
        <v>2.1</v>
      </c>
      <c r="BP30" s="474">
        <f t="shared" si="8"/>
        <v>1.7</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0</v>
      </c>
      <c r="BY30" s="298">
        <f t="shared" si="27"/>
        <v>0</v>
      </c>
      <c r="BZ30" s="298" t="b">
        <f t="shared" si="28"/>
        <v>0</v>
      </c>
      <c r="CA30" s="298">
        <f t="shared" si="29"/>
        <v>0</v>
      </c>
      <c r="CB30" s="331"/>
      <c r="CH30" s="306" t="str">
        <f t="shared" si="30"/>
        <v>39D 1978-2</v>
      </c>
      <c r="CL30" s="306" t="str">
        <f t="shared" si="31"/>
        <v>39D 1978-2</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3600</v>
      </c>
      <c r="I44" s="819" t="str">
        <f>IF($E$6="DE","Ausladung [mm]","Distance to Tip [mm]")</f>
        <v>Distance to Tip [mm]</v>
      </c>
      <c r="J44" s="835"/>
      <c r="K44" s="834"/>
      <c r="L44" s="412"/>
      <c r="M44" s="819" t="str">
        <f>IF($E$6="DE","Zylinderkraft min. [N]","Cyl. Force min. [N]")</f>
        <v>Cyl. Force min. [N]</v>
      </c>
      <c r="N44" s="834"/>
      <c r="O44" s="413" t="e">
        <f>IF(G8="J",(H44/L46)*2,H44/L46)</f>
        <v>#DIV/0!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5500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t="e">
        <f>IF(G8="J",(H45/L46)*2,H45/L46)</f>
        <v>#DIV/0!</v>
      </c>
      <c r="P45" s="828" t="str">
        <f>IF($E$6="DE","Zylinderdruck max. [bar]","Cyl. Pressure max. [bar]")</f>
        <v>Cyl. Pressure max. [bar]</v>
      </c>
      <c r="Q45" s="829"/>
      <c r="R45" s="981" t="e">
        <f>10*O45/(H46*E46)</f>
        <v>#DIV/0!</v>
      </c>
      <c r="S45" s="982"/>
      <c r="T45" s="1010" t="str">
        <f>IF(G6="RZ",BH49,IF(G6="SPZ",BH46,IF(G6="-","Zangentyp/Guntype?")))</f>
        <v>Max. Force of Gun acc.Drw.exceeded</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t="e">
        <f>IF(G19="X",L45/L44,1)</f>
        <v>#DIV/0!</v>
      </c>
      <c r="M46" s="830" t="str">
        <f>IF($E$6="DE","notwendige Motorkraft min. [N]","requiered Motor Force min. [N]")</f>
        <v>requiered Motor Force min. [N]</v>
      </c>
      <c r="N46" s="831"/>
      <c r="O46" s="422" t="e">
        <f>IF(G8="J",(H44/L46)*2,H44/L46)</f>
        <v>#DIV/0!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t="e">
        <f>IF(G8="J",(H45/L46)*2,H45/L46)</f>
        <v>#DIV/0!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1610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ST1610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3" priority="428" stopIfTrue="1" operator="equal">
      <formula>"Ergebnis des Druckbereichs i.O."</formula>
    </cfRule>
    <cfRule type="cellIs" dxfId="142" priority="429" stopIfTrue="1" operator="equal">
      <formula>"Ergebnis des Druckbereichs nicht i.O."</formula>
    </cfRule>
  </conditionalFormatting>
  <conditionalFormatting sqref="BH47">
    <cfRule type="cellIs" dxfId="141" priority="426" stopIfTrue="1" operator="equal">
      <formula>" "</formula>
    </cfRule>
    <cfRule type="cellIs" dxfId="140" priority="427" stopIfTrue="1" operator="equal">
      <formula>"Rücksprache Prozessmethodik"</formula>
    </cfRule>
  </conditionalFormatting>
  <conditionalFormatting sqref="X46">
    <cfRule type="cellIs" dxfId="139" priority="420" stopIfTrue="1" operator="notEqual">
      <formula>"39D 1978-2"</formula>
    </cfRule>
    <cfRule type="containsText" dxfId="138" priority="421" stopIfTrue="1" operator="containsText" text="39D 1978-2">
      <formula>NOT(ISERROR(SEARCH("39D 1978-2",X46)))</formula>
    </cfRule>
    <cfRule type="expression" priority="422" stopIfTrue="1">
      <formula>1</formula>
    </cfRule>
  </conditionalFormatting>
  <conditionalFormatting sqref="AA46">
    <cfRule type="cellIs" dxfId="137" priority="419" stopIfTrue="1" operator="notEqual">
      <formula>6</formula>
    </cfRule>
  </conditionalFormatting>
  <conditionalFormatting sqref="AB46">
    <cfRule type="cellIs" dxfId="136" priority="418" stopIfTrue="1" operator="notEqual">
      <formula>50</formula>
    </cfRule>
  </conditionalFormatting>
  <conditionalFormatting sqref="AC46">
    <cfRule type="cellIs" dxfId="135" priority="417" stopIfTrue="1" operator="notEqual">
      <formula>6</formula>
    </cfRule>
  </conditionalFormatting>
  <conditionalFormatting sqref="AD46">
    <cfRule type="cellIs" dxfId="134" priority="414" stopIfTrue="1" operator="notEqual">
      <formula>50</formula>
    </cfRule>
  </conditionalFormatting>
  <conditionalFormatting sqref="CB19:CB43">
    <cfRule type="cellIs" dxfId="133" priority="439" stopIfTrue="1" operator="equal">
      <formula>$AC$19</formula>
    </cfRule>
  </conditionalFormatting>
  <conditionalFormatting sqref="G19:G43">
    <cfRule type="expression" dxfId="132" priority="413" stopIfTrue="1">
      <formula>OR(AND(ISNUMBER($P19),ISBLANK($G19)),AND(ISTEXT($G19),ISBLANK($P19)))</formula>
    </cfRule>
  </conditionalFormatting>
  <conditionalFormatting sqref="BH46">
    <cfRule type="cellIs" dxfId="131" priority="397" operator="equal">
      <formula>"pressure level not allowed"</formula>
    </cfRule>
    <cfRule type="cellIs" dxfId="130" priority="398" operator="equal">
      <formula>"presure level allowed"</formula>
    </cfRule>
    <cfRule type="cellIs" dxfId="129" priority="399" operator="equal">
      <formula>"Max. Force of gun acc.Drw.exceeded!"</formula>
    </cfRule>
    <cfRule type="cellIs" dxfId="128" priority="409" stopIfTrue="1" operator="equal">
      <formula>"Zangenkraft lt.Zangenzeichnung überschritten!"</formula>
    </cfRule>
  </conditionalFormatting>
  <conditionalFormatting sqref="AE19:AE43">
    <cfRule type="expression" dxfId="127" priority="405">
      <formula>ISERROR(AE19)</formula>
    </cfRule>
  </conditionalFormatting>
  <conditionalFormatting sqref="BH47">
    <cfRule type="cellIs" dxfId="126" priority="396" operator="equal">
      <formula>"consult process methodology"</formula>
    </cfRule>
  </conditionalFormatting>
  <conditionalFormatting sqref="W47">
    <cfRule type="expression" dxfId="125" priority="440" stopIfTrue="1">
      <formula>ISBLANK($W$47)</formula>
    </cfRule>
  </conditionalFormatting>
  <conditionalFormatting sqref="G6">
    <cfRule type="cellIs" dxfId="124" priority="395" operator="equal">
      <formula>"-"</formula>
    </cfRule>
  </conditionalFormatting>
  <conditionalFormatting sqref="H44">
    <cfRule type="cellIs" dxfId="123" priority="394" operator="equal">
      <formula>"Zangentyp?"</formula>
    </cfRule>
  </conditionalFormatting>
  <conditionalFormatting sqref="BH49">
    <cfRule type="cellIs" dxfId="122" priority="392" stopIfTrue="1" operator="equal">
      <formula>"Zangen/Motorauslegung i.O."</formula>
    </cfRule>
    <cfRule type="cellIs" dxfId="121" priority="393" stopIfTrue="1" operator="equal">
      <formula>"Zangen/Motorauslegung nicht i.O."</formula>
    </cfRule>
  </conditionalFormatting>
  <conditionalFormatting sqref="BH49 BJ49:BK49">
    <cfRule type="cellIs" dxfId="120" priority="386" operator="equal">
      <formula>"Gun/Electromotor Design not O.K."</formula>
    </cfRule>
    <cfRule type="cellIs" dxfId="119" priority="387" operator="equal">
      <formula>"Gun/Electromotor Design O.K."</formula>
    </cfRule>
    <cfRule type="cellIs" dxfId="118" priority="388" operator="equal">
      <formula>"incorrect Gun Type/Gun Body/Gun Measure"</formula>
    </cfRule>
    <cfRule type="cellIs" dxfId="117" priority="389" operator="equal">
      <formula>"Max. Force of Gun acc.Drw.exceeded!"</formula>
    </cfRule>
    <cfRule type="cellIs" dxfId="116" priority="390" operator="equal">
      <formula>"max. Zangenkraft lt.Zeichnung überschritten!"</formula>
    </cfRule>
    <cfRule type="cellIs" dxfId="115" priority="391" stopIfTrue="1" operator="equal">
      <formula>"Zangentyp/-grundkörper/-maße falsch"</formula>
    </cfRule>
  </conditionalFormatting>
  <conditionalFormatting sqref="BH50">
    <cfRule type="cellIs" dxfId="114" priority="384" stopIfTrue="1" operator="equal">
      <formula>" "</formula>
    </cfRule>
    <cfRule type="cellIs" dxfId="113" priority="385" stopIfTrue="1" operator="equal">
      <formula>"Rücksprache Prozessmethodik"</formula>
    </cfRule>
  </conditionalFormatting>
  <conditionalFormatting sqref="T46">
    <cfRule type="cellIs" dxfId="112" priority="374" stopIfTrue="1" operator="equal">
      <formula>" "</formula>
    </cfRule>
    <cfRule type="cellIs" dxfId="111" priority="375" stopIfTrue="1" operator="equal">
      <formula>"Rücksprache Prozessmethodik"</formula>
    </cfRule>
  </conditionalFormatting>
  <conditionalFormatting sqref="T46">
    <cfRule type="cellIs" dxfId="110" priority="373" operator="equal">
      <formula>"consult process methodology"</formula>
    </cfRule>
  </conditionalFormatting>
  <conditionalFormatting sqref="T45">
    <cfRule type="cellIs" dxfId="109" priority="371" stopIfTrue="1" operator="equal">
      <formula>"Zangen/Motorauslegung i.O."</formula>
    </cfRule>
    <cfRule type="cellIs" dxfId="108" priority="372" stopIfTrue="1" operator="equal">
      <formula>"Zangen/Motorauslegung nicht i.O."</formula>
    </cfRule>
  </conditionalFormatting>
  <conditionalFormatting sqref="T45:W45">
    <cfRule type="cellIs" dxfId="107" priority="331" operator="equal">
      <formula>"Zangentyp/Guntype?"</formula>
    </cfRule>
    <cfRule type="cellIs" dxfId="106" priority="361" operator="equal">
      <formula>"Pressure level not allowed"</formula>
    </cfRule>
    <cfRule type="cellIs" dxfId="105" priority="362" operator="equal">
      <formula>"Presure level allowed"</formula>
    </cfRule>
    <cfRule type="cellIs" dxfId="104" priority="363" operator="equal">
      <formula>"Ergebnis des Druckbereichs nicht i.O."</formula>
    </cfRule>
    <cfRule type="cellIs" dxfId="103" priority="364" operator="equal">
      <formula>"Ergebnis des Druckbereichs i.O."</formula>
    </cfRule>
    <cfRule type="cellIs" dxfId="102" priority="365" operator="equal">
      <formula>"Gun/Electromotor Design not O.K."</formula>
    </cfRule>
    <cfRule type="cellIs" dxfId="101" priority="366" operator="equal">
      <formula>"Gun/Electromotor Design O.K."</formula>
    </cfRule>
    <cfRule type="cellIs" dxfId="100" priority="367" operator="equal">
      <formula>"incorrect Gun Type/Gun Body/Gun Measure"</formula>
    </cfRule>
    <cfRule type="cellIs" dxfId="99" priority="368" operator="equal">
      <formula>"Max. Force of Gun acc.Drw.exceeded!"</formula>
    </cfRule>
    <cfRule type="cellIs" dxfId="98" priority="369" operator="equal">
      <formula>"max. Zangenkraft lt.Zeichnung überschritten!"</formula>
    </cfRule>
    <cfRule type="cellIs" dxfId="97" priority="370" stopIfTrue="1" operator="equal">
      <formula>"Zangentyp/-grundkörper/-maße falsch"</formula>
    </cfRule>
  </conditionalFormatting>
  <conditionalFormatting sqref="E47">
    <cfRule type="expression" dxfId="96" priority="360">
      <formula>$G$6="SPZ"</formula>
    </cfRule>
  </conditionalFormatting>
  <conditionalFormatting sqref="E44">
    <cfRule type="expression" dxfId="95" priority="353">
      <formula>$G$6="RZ"</formula>
    </cfRule>
  </conditionalFormatting>
  <conditionalFormatting sqref="E46">
    <cfRule type="expression" dxfId="94" priority="214">
      <formula>$G$6="RZ"</formula>
    </cfRule>
  </conditionalFormatting>
  <conditionalFormatting sqref="L44">
    <cfRule type="expression" dxfId="93" priority="300">
      <formula>ISERR($L$46)</formula>
    </cfRule>
  </conditionalFormatting>
  <conditionalFormatting sqref="L45">
    <cfRule type="expression" dxfId="92" priority="299">
      <formula>ISERR($L$46)</formula>
    </cfRule>
  </conditionalFormatting>
  <conditionalFormatting sqref="Y19">
    <cfRule type="expression" dxfId="91" priority="281">
      <formula>ISERR(AE19)</formula>
    </cfRule>
  </conditionalFormatting>
  <conditionalFormatting sqref="Y20:Y43">
    <cfRule type="expression" dxfId="90" priority="280">
      <formula>ISERR(AE20)</formula>
    </cfRule>
  </conditionalFormatting>
  <conditionalFormatting sqref="S41:S43">
    <cfRule type="expression" dxfId="89" priority="271">
      <formula>$U41="t2?"</formula>
    </cfRule>
  </conditionalFormatting>
  <conditionalFormatting sqref="AN45:AN46">
    <cfRule type="cellIs" dxfId="88" priority="237" operator="equal">
      <formula>"Ja"</formula>
    </cfRule>
  </conditionalFormatting>
  <conditionalFormatting sqref="AE45:AE46">
    <cfRule type="expression" dxfId="87" priority="444">
      <formula>AN45="Ja"</formula>
    </cfRule>
  </conditionalFormatting>
  <conditionalFormatting sqref="AE47">
    <cfRule type="expression" dxfId="86" priority="445">
      <formula>AND(AN45="Ja",ISBLANK($AG$47))</formula>
    </cfRule>
  </conditionalFormatting>
  <conditionalFormatting sqref="AJ47">
    <cfRule type="expression" dxfId="85" priority="446">
      <formula>AND(AN45="Ja",ISBLANK($AL$47))</formula>
    </cfRule>
  </conditionalFormatting>
  <conditionalFormatting sqref="AG47">
    <cfRule type="expression" dxfId="84" priority="236">
      <formula>AND(AN45="Ja",ISBLANK($AG$47))</formula>
    </cfRule>
  </conditionalFormatting>
  <conditionalFormatting sqref="AL47">
    <cfRule type="expression" dxfId="83" priority="235">
      <formula>AND(AN45="Ja",ISBLANK($AL$47))</formula>
    </cfRule>
  </conditionalFormatting>
  <conditionalFormatting sqref="G8">
    <cfRule type="expression" dxfId="82" priority="234">
      <formula>NOT(OR(G8="J",G8="N"))</formula>
    </cfRule>
  </conditionalFormatting>
  <conditionalFormatting sqref="S31:S39">
    <cfRule type="expression" dxfId="81" priority="228">
      <formula>$R31="t1?"</formula>
    </cfRule>
  </conditionalFormatting>
  <conditionalFormatting sqref="S40">
    <cfRule type="expression" dxfId="80" priority="227">
      <formula>$U40="t2?"</formula>
    </cfRule>
  </conditionalFormatting>
  <conditionalFormatting sqref="H47">
    <cfRule type="expression" dxfId="79" priority="222">
      <formula>$G$6="SPZ"</formula>
    </cfRule>
  </conditionalFormatting>
  <conditionalFormatting sqref="L47">
    <cfRule type="expression" dxfId="78" priority="221">
      <formula>$G$6="SPZ"</formula>
    </cfRule>
  </conditionalFormatting>
  <conditionalFormatting sqref="O46">
    <cfRule type="expression" dxfId="77" priority="220">
      <formula>$G$6="SPZ"</formula>
    </cfRule>
  </conditionalFormatting>
  <conditionalFormatting sqref="O47">
    <cfRule type="expression" dxfId="76" priority="219">
      <formula>$G$6="SPZ"</formula>
    </cfRule>
  </conditionalFormatting>
  <conditionalFormatting sqref="R46">
    <cfRule type="expression" dxfId="75" priority="218">
      <formula>$G$6="SPZ"</formula>
    </cfRule>
  </conditionalFormatting>
  <conditionalFormatting sqref="R47">
    <cfRule type="expression" dxfId="74" priority="217">
      <formula>$G$6="SPZ"</formula>
    </cfRule>
  </conditionalFormatting>
  <conditionalFormatting sqref="X47">
    <cfRule type="expression" dxfId="73" priority="216">
      <formula>$G$6="SPZ"</formula>
    </cfRule>
  </conditionalFormatting>
  <conditionalFormatting sqref="AA47">
    <cfRule type="expression" dxfId="72" priority="215">
      <formula>$G$6="SPZ"</formula>
    </cfRule>
  </conditionalFormatting>
  <conditionalFormatting sqref="H46">
    <cfRule type="expression" dxfId="71" priority="213">
      <formula>$G$6="RZ"</formula>
    </cfRule>
  </conditionalFormatting>
  <conditionalFormatting sqref="O44">
    <cfRule type="expression" dxfId="70" priority="212">
      <formula>$G$6="RZ"</formula>
    </cfRule>
  </conditionalFormatting>
  <conditionalFormatting sqref="O45">
    <cfRule type="expression" dxfId="69" priority="211">
      <formula>$G$6="RZ"</formula>
    </cfRule>
  </conditionalFormatting>
  <conditionalFormatting sqref="R44">
    <cfRule type="expression" dxfId="68" priority="210">
      <formula>$G$6="RZ"</formula>
    </cfRule>
  </conditionalFormatting>
  <conditionalFormatting sqref="R45">
    <cfRule type="expression" dxfId="67" priority="209">
      <formula>$G$6="RZ"</formula>
    </cfRule>
  </conditionalFormatting>
  <conditionalFormatting sqref="C44:D45">
    <cfRule type="expression" dxfId="66" priority="208">
      <formula>$G$6="RZ"</formula>
    </cfRule>
  </conditionalFormatting>
  <conditionalFormatting sqref="C46:D46">
    <cfRule type="expression" dxfId="65" priority="207">
      <formula>$G$6="RZ"</formula>
    </cfRule>
  </conditionalFormatting>
  <conditionalFormatting sqref="F46:G46">
    <cfRule type="expression" dxfId="64" priority="206">
      <formula>$G$6="RZ"</formula>
    </cfRule>
  </conditionalFormatting>
  <conditionalFormatting sqref="M45:N45">
    <cfRule type="expression" dxfId="63" priority="205">
      <formula>$G$6="RZ"</formula>
    </cfRule>
  </conditionalFormatting>
  <conditionalFormatting sqref="P45:Q45">
    <cfRule type="expression" dxfId="62" priority="204">
      <formula>$G$6="RZ"</formula>
    </cfRule>
  </conditionalFormatting>
  <conditionalFormatting sqref="M44:N44">
    <cfRule type="expression" dxfId="61" priority="203">
      <formula>$G$6="RZ"</formula>
    </cfRule>
  </conditionalFormatting>
  <conditionalFormatting sqref="P44:Q44">
    <cfRule type="expression" dxfId="60" priority="202">
      <formula>$G$6="RZ"</formula>
    </cfRule>
  </conditionalFormatting>
  <conditionalFormatting sqref="C47:D47">
    <cfRule type="expression" dxfId="59" priority="201">
      <formula>$G$6="SPZ"</formula>
    </cfRule>
  </conditionalFormatting>
  <conditionalFormatting sqref="F47:G47">
    <cfRule type="expression" dxfId="58" priority="200">
      <formula>$G$6="SPZ"</formula>
    </cfRule>
  </conditionalFormatting>
  <conditionalFormatting sqref="I47">
    <cfRule type="expression" dxfId="57" priority="199">
      <formula>$G$6="SPZ"</formula>
    </cfRule>
  </conditionalFormatting>
  <conditionalFormatting sqref="M46:N46">
    <cfRule type="expression" dxfId="56" priority="198">
      <formula>$G$6="SPZ"</formula>
    </cfRule>
  </conditionalFormatting>
  <conditionalFormatting sqref="M47:N47">
    <cfRule type="expression" dxfId="55" priority="197">
      <formula>$G$6="SPZ"</formula>
    </cfRule>
  </conditionalFormatting>
  <conditionalFormatting sqref="P47:Q47">
    <cfRule type="expression" dxfId="54" priority="196">
      <formula>$G$6="SPZ"</formula>
    </cfRule>
  </conditionalFormatting>
  <conditionalFormatting sqref="P46:Q46">
    <cfRule type="expression" dxfId="53" priority="195">
      <formula>$G$6="SPZ"</formula>
    </cfRule>
  </conditionalFormatting>
  <conditionalFormatting sqref="AF45:AM46">
    <cfRule type="expression" dxfId="52" priority="448">
      <formula>BG45="Ja"</formula>
    </cfRule>
  </conditionalFormatting>
  <conditionalFormatting sqref="AF47">
    <cfRule type="expression" dxfId="51" priority="450">
      <formula>AND(BG45="Ja",ISBLANK($AG$47))</formula>
    </cfRule>
  </conditionalFormatting>
  <conditionalFormatting sqref="AK47">
    <cfRule type="expression" dxfId="50" priority="452">
      <formula>AND(BG45="Ja",ISBLANK($AL$47))</formula>
    </cfRule>
  </conditionalFormatting>
  <conditionalFormatting sqref="AH47:AI47">
    <cfRule type="expression" dxfId="49" priority="454">
      <formula>AND(BG45="Ja",ISBLANK($AG$47))</formula>
    </cfRule>
  </conditionalFormatting>
  <conditionalFormatting sqref="AM47:AN47">
    <cfRule type="expression" dxfId="48" priority="459">
      <formula>AND(BG45="Ja",ISBLANK($AL$47))</formula>
    </cfRule>
  </conditionalFormatting>
  <conditionalFormatting sqref="W21">
    <cfRule type="expression" dxfId="47" priority="151">
      <formula>CELL("Schutz",W21)</formula>
    </cfRule>
  </conditionalFormatting>
  <conditionalFormatting sqref="V21">
    <cfRule type="expression" dxfId="46" priority="152">
      <formula>$R21="t1?"</formula>
    </cfRule>
  </conditionalFormatting>
  <conditionalFormatting sqref="V22 V31:V43 V26:V29">
    <cfRule type="expression" dxfId="45" priority="180">
      <formula>$R22="t1?"</formula>
    </cfRule>
  </conditionalFormatting>
  <conditionalFormatting sqref="P41:P43">
    <cfRule type="expression" dxfId="44" priority="175">
      <formula>$U41="t2?"</formula>
    </cfRule>
  </conditionalFormatting>
  <conditionalFormatting sqref="P31:P39">
    <cfRule type="expression" dxfId="43" priority="173">
      <formula>$R31="t1?"</formula>
    </cfRule>
  </conditionalFormatting>
  <conditionalFormatting sqref="P40">
    <cfRule type="expression" dxfId="42" priority="172">
      <formula>$U40="t2?"</formula>
    </cfRule>
  </conditionalFormatting>
  <conditionalFormatting sqref="AE44:AN44">
    <cfRule type="containsText" dxfId="41"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0" priority="143">
      <formula>$R19="t1?"</formula>
    </cfRule>
  </conditionalFormatting>
  <conditionalFormatting sqref="P20:P28">
    <cfRule type="expression" dxfId="39" priority="142">
      <formula>$R20="t1?"</formula>
    </cfRule>
  </conditionalFormatting>
  <conditionalFormatting sqref="P19:P28">
    <cfRule type="expression" dxfId="38" priority="139">
      <formula>CELL("Schutz",P19)</formula>
    </cfRule>
  </conditionalFormatting>
  <conditionalFormatting sqref="V19">
    <cfRule type="expression" dxfId="37" priority="132">
      <formula>$R19="t1?"</formula>
    </cfRule>
  </conditionalFormatting>
  <conditionalFormatting sqref="V19">
    <cfRule type="expression" dxfId="36" priority="131">
      <formula>CELL("Schutz",V19)</formula>
    </cfRule>
  </conditionalFormatting>
  <conditionalFormatting sqref="P29">
    <cfRule type="expression" dxfId="35" priority="129">
      <formula>$R29="t1?"</formula>
    </cfRule>
  </conditionalFormatting>
  <conditionalFormatting sqref="S29">
    <cfRule type="expression" dxfId="34" priority="128">
      <formula>$R29="t1?"</formula>
    </cfRule>
  </conditionalFormatting>
  <conditionalFormatting sqref="P30">
    <cfRule type="expression" dxfId="33" priority="127">
      <formula>$R30="t1?"</formula>
    </cfRule>
  </conditionalFormatting>
  <conditionalFormatting sqref="S30">
    <cfRule type="expression" dxfId="32" priority="126">
      <formula>$R30="t1?"</formula>
    </cfRule>
  </conditionalFormatting>
  <conditionalFormatting sqref="V30">
    <cfRule type="expression" dxfId="31" priority="125">
      <formula>$R30="t1?"</formula>
    </cfRule>
  </conditionalFormatting>
  <conditionalFormatting sqref="I19:I43">
    <cfRule type="aboveAverage" dxfId="30" priority="123" aboveAverage="0"/>
    <cfRule type="aboveAverage" dxfId="29" priority="124"/>
  </conditionalFormatting>
  <conditionalFormatting sqref="G20:G43">
    <cfRule type="expression" dxfId="28" priority="117">
      <formula>AND(BI10=TRUE,BH10=TRUE)</formula>
    </cfRule>
  </conditionalFormatting>
  <conditionalFormatting sqref="G19:G43">
    <cfRule type="expression" dxfId="27" priority="460">
      <formula>AND(G19="X",$BJ$9=TRUE,$BI$9=TRUE)</formula>
    </cfRule>
  </conditionalFormatting>
  <conditionalFormatting sqref="G20:G43">
    <cfRule type="expression" dxfId="26" priority="461">
      <formula>AND($BJ$9=TRUE,$BI$9=TRUE)</formula>
    </cfRule>
  </conditionalFormatting>
  <conditionalFormatting sqref="V25">
    <cfRule type="expression" dxfId="25" priority="104">
      <formula>$R25="t1?"</formula>
    </cfRule>
  </conditionalFormatting>
  <conditionalFormatting sqref="W25:W27">
    <cfRule type="expression" dxfId="24" priority="92">
      <formula>CELL("Schutz",W25)</formula>
    </cfRule>
  </conditionalFormatting>
  <conditionalFormatting sqref="T27">
    <cfRule type="expression" dxfId="23" priority="90">
      <formula>CELL("Schutz",T27)</formula>
    </cfRule>
  </conditionalFormatting>
  <conditionalFormatting sqref="S19:S28">
    <cfRule type="expression" dxfId="22" priority="64">
      <formula>$R19="t1?"</formula>
    </cfRule>
  </conditionalFormatting>
  <conditionalFormatting sqref="S19:S28">
    <cfRule type="expression" dxfId="21" priority="63">
      <formula>CELL("Schutz",S19)</formula>
    </cfRule>
  </conditionalFormatting>
  <conditionalFormatting sqref="T26">
    <cfRule type="expression" dxfId="20" priority="47">
      <formula>CELL("Schutz",T26)</formula>
    </cfRule>
  </conditionalFormatting>
  <conditionalFormatting sqref="V24">
    <cfRule type="expression" dxfId="19" priority="46">
      <formula>$R24="t1?"</formula>
    </cfRule>
  </conditionalFormatting>
  <conditionalFormatting sqref="V24">
    <cfRule type="expression" dxfId="18" priority="45">
      <formula>CELL("Schutz",V24)</formula>
    </cfRule>
  </conditionalFormatting>
  <conditionalFormatting sqref="W24">
    <cfRule type="expression" dxfId="17" priority="44">
      <formula>CELL("Schutz",W24)</formula>
    </cfRule>
  </conditionalFormatting>
  <conditionalFormatting sqref="W23">
    <cfRule type="expression" dxfId="16" priority="42">
      <formula>CELL("Schutz",W23)</formula>
    </cfRule>
  </conditionalFormatting>
  <conditionalFormatting sqref="V23">
    <cfRule type="expression" dxfId="15" priority="41">
      <formula>$R23="t1?"</formula>
    </cfRule>
  </conditionalFormatting>
  <conditionalFormatting sqref="V23">
    <cfRule type="expression" dxfId="14" priority="40">
      <formula>CELL("Schutz",V23)</formula>
    </cfRule>
  </conditionalFormatting>
  <conditionalFormatting sqref="V20">
    <cfRule type="expression" dxfId="13" priority="33">
      <formula>$R20="t1?"</formula>
    </cfRule>
  </conditionalFormatting>
  <conditionalFormatting sqref="W19">
    <cfRule type="expression" dxfId="12" priority="27">
      <formula>CELL("Schutz",W19)</formula>
    </cfRule>
  </conditionalFormatting>
  <conditionalFormatting sqref="AR8:AU8">
    <cfRule type="expression" dxfId="11" priority="13">
      <formula>OR(AND(ISBLANK($AR$8),COUNTBLANK($AH$8:$AN$8)&lt;7),AND(ISBLANK($AR$8),$BF$44&gt;0))</formula>
    </cfRule>
  </conditionalFormatting>
  <conditionalFormatting sqref="AY8:BB8">
    <cfRule type="expression" dxfId="10" priority="11">
      <formula>OR(AND(ISBLANK($AY$8),COUNTBLANK($AH$8:$AN$8)&lt;7),AND(ISBLANK($AY$8),$BF$44&gt;0))</formula>
    </cfRule>
  </conditionalFormatting>
  <conditionalFormatting sqref="AO8:AQ8">
    <cfRule type="expression" dxfId="9" priority="10">
      <formula>OR(COUNTBLANK($AH$8:$AN$8)&lt;7,$BF$44&gt;0)</formula>
    </cfRule>
  </conditionalFormatting>
  <conditionalFormatting sqref="AV8:AX8">
    <cfRule type="expression" dxfId="8" priority="9">
      <formula>OR(COUNTBLANK($AH$8:$AN$8)&lt;7,$BF$44&gt;0)</formula>
    </cfRule>
  </conditionalFormatting>
  <conditionalFormatting sqref="AK8">
    <cfRule type="expression" dxfId="7" priority="8">
      <formula>AND($BF$44&gt;0,ISBLANK(AK8))</formula>
    </cfRule>
  </conditionalFormatting>
  <conditionalFormatting sqref="AL8">
    <cfRule type="expression" dxfId="6" priority="7">
      <formula>AND($BF$44&gt;0,ISBLANK(AL8))</formula>
    </cfRule>
  </conditionalFormatting>
  <conditionalFormatting sqref="AM8">
    <cfRule type="expression" dxfId="5" priority="6">
      <formula>AND($BF$44&gt;0,ISBLANK(AM8))</formula>
    </cfRule>
  </conditionalFormatting>
  <conditionalFormatting sqref="AN8">
    <cfRule type="expression" dxfId="4" priority="5">
      <formula>AND($BF$44&gt;0,ISBLANK(AN8))</formula>
    </cfRule>
  </conditionalFormatting>
  <conditionalFormatting sqref="W20">
    <cfRule type="expression" dxfId="3" priority="4">
      <formula>CELL("Schutz",W20)</formula>
    </cfRule>
  </conditionalFormatting>
  <conditionalFormatting sqref="Q19:Q31">
    <cfRule type="expression" dxfId="2" priority="3">
      <formula>CELL("Schutz",Q19)</formula>
    </cfRule>
  </conditionalFormatting>
  <conditionalFormatting sqref="T19:T24">
    <cfRule type="expression" dxfId="1" priority="2">
      <formula>CELL("Schutz",T19)</formula>
    </cfRule>
  </conditionalFormatting>
  <conditionalFormatting sqref="T25">
    <cfRule type="expression" dxfId="0" priority="1">
      <formula>CELL("Schutz",T25)</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2"/>
      <c r="B3" s="1102"/>
      <c r="C3" s="1102"/>
      <c r="D3" s="1102"/>
      <c r="E3" s="1102"/>
      <c r="F3" s="1102"/>
      <c r="G3" s="1102"/>
      <c r="H3" s="1103"/>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5"/>
      <c r="C5" s="1105"/>
      <c r="D5" s="463" t="str">
        <f>CONCATENATE(A5,$B$4,$C$4)</f>
        <v>KUKAC5000SEW</v>
      </c>
      <c r="E5" s="26" t="s">
        <v>1169</v>
      </c>
      <c r="F5" s="26">
        <v>1500</v>
      </c>
      <c r="G5" s="26">
        <v>10000</v>
      </c>
      <c r="H5" s="26" t="s">
        <v>1170</v>
      </c>
    </row>
    <row r="6" spans="1:8" ht="15.75" thickBot="1">
      <c r="A6" s="24" t="s">
        <v>1153</v>
      </c>
      <c r="B6" s="1106"/>
      <c r="C6" s="1105"/>
      <c r="D6" s="464" t="str">
        <f>CONCATENATE(A6,$B$4,$C$4)</f>
        <v>FanucC5000SEW</v>
      </c>
      <c r="E6" s="275" t="s">
        <v>1169</v>
      </c>
      <c r="F6" s="275">
        <v>1500</v>
      </c>
      <c r="G6" s="276">
        <v>10000</v>
      </c>
      <c r="H6" s="276" t="s">
        <v>1734</v>
      </c>
    </row>
    <row r="7" spans="1:8" ht="15">
      <c r="A7" s="22" t="s">
        <v>1146</v>
      </c>
      <c r="B7" s="1104" t="s">
        <v>1150</v>
      </c>
      <c r="C7" s="1105"/>
      <c r="D7" s="462" t="str">
        <f>CONCATENATE(A7,$B$7,$C$4)</f>
        <v>ABBC8000SEW</v>
      </c>
      <c r="E7" s="23" t="s">
        <v>1163</v>
      </c>
      <c r="F7" s="23">
        <v>1500</v>
      </c>
      <c r="G7" s="23">
        <v>10000</v>
      </c>
      <c r="H7" s="23" t="s">
        <v>1168</v>
      </c>
    </row>
    <row r="8" spans="1:8" ht="15">
      <c r="A8" s="25" t="s">
        <v>1155</v>
      </c>
      <c r="B8" s="1105"/>
      <c r="C8" s="1105"/>
      <c r="D8" s="463" t="str">
        <f>CONCATENATE(A8,$B$7,$C$4)</f>
        <v>KUKAC8000SEW</v>
      </c>
      <c r="E8" s="26" t="s">
        <v>1163</v>
      </c>
      <c r="F8" s="26">
        <v>1500</v>
      </c>
      <c r="G8" s="26">
        <v>10000</v>
      </c>
      <c r="H8" s="26" t="s">
        <v>1167</v>
      </c>
    </row>
    <row r="9" spans="1:8" ht="15.75" thickBot="1">
      <c r="A9" s="24" t="s">
        <v>1153</v>
      </c>
      <c r="B9" s="1106"/>
      <c r="C9" s="1105"/>
      <c r="D9" s="464" t="str">
        <f>CONCATENATE(A9,$B$7,$C$4)</f>
        <v>FanucC8000SEW</v>
      </c>
      <c r="E9" s="275" t="s">
        <v>1163</v>
      </c>
      <c r="F9" s="275">
        <v>1500</v>
      </c>
      <c r="G9" s="275">
        <v>10000</v>
      </c>
      <c r="H9" s="276" t="s">
        <v>1735</v>
      </c>
    </row>
    <row r="10" spans="1:8" ht="15">
      <c r="A10" s="22" t="s">
        <v>1146</v>
      </c>
      <c r="B10" s="1104" t="s">
        <v>1166</v>
      </c>
      <c r="C10" s="1105"/>
      <c r="D10" s="462" t="str">
        <f>CONCATENATE(A10,$B$10,$C$4)</f>
        <v>ABBC8000 TunnelSEW</v>
      </c>
      <c r="E10" s="23" t="s">
        <v>1163</v>
      </c>
      <c r="F10" s="23">
        <v>1500</v>
      </c>
      <c r="G10" s="23">
        <v>10000</v>
      </c>
      <c r="H10" s="23" t="s">
        <v>1165</v>
      </c>
    </row>
    <row r="11" spans="1:8" ht="15">
      <c r="A11" s="25" t="s">
        <v>1155</v>
      </c>
      <c r="B11" s="1105"/>
      <c r="C11" s="1105"/>
      <c r="D11" s="463" t="str">
        <f>CONCATENATE(A11,$B$10,$C$4)</f>
        <v>KUKAC8000 TunnelSEW</v>
      </c>
      <c r="E11" s="26" t="s">
        <v>1163</v>
      </c>
      <c r="F11" s="26">
        <v>1500</v>
      </c>
      <c r="G11" s="26">
        <v>10000</v>
      </c>
      <c r="H11" s="26" t="s">
        <v>1164</v>
      </c>
    </row>
    <row r="12" spans="1:8" ht="15.75" thickBot="1">
      <c r="A12" s="24" t="s">
        <v>1153</v>
      </c>
      <c r="B12" s="1106"/>
      <c r="C12" s="1105"/>
      <c r="D12" s="464" t="str">
        <f>CONCATENATE(A12,$B$10,$C$4)</f>
        <v>FanucC8000 TunnelSEW</v>
      </c>
      <c r="E12" s="275" t="s">
        <v>1163</v>
      </c>
      <c r="F12" s="275">
        <v>1500</v>
      </c>
      <c r="G12" s="275">
        <v>10000</v>
      </c>
      <c r="H12" s="276" t="s">
        <v>1736</v>
      </c>
    </row>
    <row r="13" spans="1:8" ht="15">
      <c r="A13" s="22" t="s">
        <v>1146</v>
      </c>
      <c r="B13" s="1104" t="s">
        <v>1162</v>
      </c>
      <c r="C13" s="1105"/>
      <c r="D13" s="462" t="str">
        <f>CONCATENATE(A13,$B$13,$C$4)</f>
        <v>ABBX100SEW</v>
      </c>
      <c r="E13" s="23" t="s">
        <v>1159</v>
      </c>
      <c r="F13" s="23">
        <v>2000</v>
      </c>
      <c r="G13" s="23">
        <v>12000</v>
      </c>
      <c r="H13" s="23" t="s">
        <v>1161</v>
      </c>
    </row>
    <row r="14" spans="1:8" ht="15">
      <c r="A14" s="25" t="s">
        <v>1155</v>
      </c>
      <c r="B14" s="1105"/>
      <c r="C14" s="1105"/>
      <c r="D14" s="463" t="str">
        <f>CONCATENATE(A14,$B$13,$C$4)</f>
        <v>KUKAX100SEW</v>
      </c>
      <c r="E14" s="26" t="s">
        <v>1159</v>
      </c>
      <c r="F14" s="26">
        <v>2000</v>
      </c>
      <c r="G14" s="26">
        <v>12000</v>
      </c>
      <c r="H14" s="26" t="s">
        <v>1160</v>
      </c>
    </row>
    <row r="15" spans="1:8" ht="15.75" thickBot="1">
      <c r="A15" s="24" t="s">
        <v>1153</v>
      </c>
      <c r="B15" s="1106"/>
      <c r="C15" s="1105"/>
      <c r="D15" s="465" t="str">
        <f>CONCATENATE(A15,$B$13,$C$4)</f>
        <v>FanucX100SEW</v>
      </c>
      <c r="E15" s="21" t="s">
        <v>1159</v>
      </c>
      <c r="F15" s="21">
        <v>2000</v>
      </c>
      <c r="G15" s="21">
        <v>12000</v>
      </c>
      <c r="H15" s="21" t="s">
        <v>1737</v>
      </c>
    </row>
    <row r="16" spans="1:8" ht="15">
      <c r="A16" s="22" t="s">
        <v>1146</v>
      </c>
      <c r="B16" s="1104" t="s">
        <v>1158</v>
      </c>
      <c r="C16" s="1105"/>
      <c r="D16" s="462" t="str">
        <f>CONCATENATE(A16,$B$16,$C$4)</f>
        <v>ABBX120SEW</v>
      </c>
      <c r="E16" s="23" t="s">
        <v>1157</v>
      </c>
      <c r="F16" s="23">
        <v>2500</v>
      </c>
      <c r="G16" s="23">
        <v>19500</v>
      </c>
      <c r="H16" s="23" t="s">
        <v>1156</v>
      </c>
    </row>
    <row r="17" spans="1:8" ht="15">
      <c r="A17" s="466" t="s">
        <v>1155</v>
      </c>
      <c r="B17" s="1105"/>
      <c r="C17" s="1105"/>
      <c r="D17" s="469" t="str">
        <f t="shared" ref="D17:D18" si="0">CONCATENATE(A17,$B$16,$C$4)</f>
        <v>KUKAX120SEW</v>
      </c>
      <c r="E17" s="26" t="s">
        <v>1746</v>
      </c>
      <c r="F17" s="26"/>
      <c r="G17" s="26"/>
      <c r="H17" s="26"/>
    </row>
    <row r="18" spans="1:8" ht="15.75" thickBot="1">
      <c r="A18" s="24" t="s">
        <v>1153</v>
      </c>
      <c r="B18" s="1106"/>
      <c r="C18" s="1105"/>
      <c r="D18" s="465" t="str">
        <f t="shared" si="0"/>
        <v>FanucX120SEW</v>
      </c>
      <c r="E18" s="21" t="s">
        <v>1746</v>
      </c>
      <c r="F18" s="21"/>
      <c r="G18" s="21"/>
      <c r="H18" s="21"/>
    </row>
    <row r="19" spans="1:8" ht="15">
      <c r="A19" s="22" t="s">
        <v>1146</v>
      </c>
      <c r="B19" s="1104" t="s">
        <v>1747</v>
      </c>
      <c r="C19" s="1105"/>
      <c r="D19" s="470" t="str">
        <f>CONCATENATE(A19,$B$19,$C$4)</f>
        <v>ABBX120 (Doppelzange)SEW</v>
      </c>
      <c r="E19" s="470" t="s">
        <v>1746</v>
      </c>
      <c r="F19" s="470"/>
      <c r="G19" s="470"/>
      <c r="H19" s="470"/>
    </row>
    <row r="20" spans="1:8" ht="15">
      <c r="A20" s="466" t="s">
        <v>1155</v>
      </c>
      <c r="B20" s="1105"/>
      <c r="C20" s="1105"/>
      <c r="D20" s="470" t="str">
        <f t="shared" ref="D20:D21" si="1">CONCATENATE(A20,$B$19,$C$4)</f>
        <v>KUKAX120 (Doppelzange)SEW</v>
      </c>
      <c r="E20" s="470" t="s">
        <v>1152</v>
      </c>
      <c r="F20" s="470">
        <v>2500</v>
      </c>
      <c r="G20" s="470">
        <v>19500</v>
      </c>
      <c r="H20" s="470" t="s">
        <v>1154</v>
      </c>
    </row>
    <row r="21" spans="1:8" ht="15.75" thickBot="1">
      <c r="A21" s="20" t="s">
        <v>1153</v>
      </c>
      <c r="B21" s="1106"/>
      <c r="C21" s="1105"/>
      <c r="D21" s="470" t="str">
        <f t="shared" si="1"/>
        <v>FanucX120 (Doppelzange)SEW</v>
      </c>
      <c r="E21" s="21" t="s">
        <v>1152</v>
      </c>
      <c r="F21" s="21">
        <v>2500</v>
      </c>
      <c r="G21" s="21">
        <v>19500</v>
      </c>
      <c r="H21" s="21" t="s">
        <v>1738</v>
      </c>
    </row>
    <row r="22" spans="1:8" ht="15">
      <c r="A22" s="22" t="s">
        <v>1146</v>
      </c>
      <c r="B22" s="1104" t="s">
        <v>1739</v>
      </c>
      <c r="C22" s="1105"/>
      <c r="D22" s="462" t="str">
        <f t="shared" ref="D22:D24" si="2">CONCATENATE(A22,$B$22,$C$4)</f>
        <v>ABBX125SEW</v>
      </c>
      <c r="E22" s="23" t="s">
        <v>1157</v>
      </c>
      <c r="F22" s="23">
        <v>2500</v>
      </c>
      <c r="G22" s="23">
        <v>19500</v>
      </c>
      <c r="H22" s="26"/>
    </row>
    <row r="23" spans="1:8" ht="15">
      <c r="A23" s="466" t="s">
        <v>1155</v>
      </c>
      <c r="B23" s="1105"/>
      <c r="C23" s="1105"/>
      <c r="D23" s="469" t="str">
        <f t="shared" si="2"/>
        <v>KUKAX125SEW</v>
      </c>
      <c r="E23" s="470" t="s">
        <v>1152</v>
      </c>
      <c r="F23" s="470">
        <v>2500</v>
      </c>
      <c r="G23" s="470">
        <v>19500</v>
      </c>
      <c r="H23" s="470"/>
    </row>
    <row r="24" spans="1:8" ht="15.75" thickBot="1">
      <c r="A24" s="20" t="s">
        <v>1153</v>
      </c>
      <c r="B24" s="1106"/>
      <c r="C24" s="1105"/>
      <c r="D24" s="465" t="str">
        <f t="shared" si="2"/>
        <v>FanucX125SEW</v>
      </c>
      <c r="E24" s="21" t="s">
        <v>1152</v>
      </c>
      <c r="F24" s="21">
        <v>2500</v>
      </c>
      <c r="G24" s="21">
        <v>19500</v>
      </c>
      <c r="H24" s="21"/>
    </row>
    <row r="25" spans="1:8" ht="15">
      <c r="A25" s="22" t="s">
        <v>1146</v>
      </c>
      <c r="B25" s="1105" t="s">
        <v>1748</v>
      </c>
      <c r="C25" s="1105"/>
      <c r="D25" s="23" t="str">
        <f>CONCATENATE(A25,$B$25,$C$4)</f>
        <v>ABBX125 (Doppelzange)SEW</v>
      </c>
      <c r="E25" s="23" t="s">
        <v>1157</v>
      </c>
      <c r="F25" s="23">
        <v>2500</v>
      </c>
      <c r="G25" s="23">
        <v>19500</v>
      </c>
      <c r="H25" s="23"/>
    </row>
    <row r="26" spans="1:8" ht="15">
      <c r="A26" s="466" t="s">
        <v>1155</v>
      </c>
      <c r="B26" s="1105"/>
      <c r="C26" s="1105"/>
      <c r="D26" s="26" t="str">
        <f t="shared" ref="D26:D27" si="3">CONCATENATE(A26,$B$25,$C$4)</f>
        <v>KUKAX125 (Doppelzange)SEW</v>
      </c>
      <c r="E26" s="470" t="s">
        <v>1152</v>
      </c>
      <c r="F26" s="470">
        <v>2500</v>
      </c>
      <c r="G26" s="470">
        <v>19500</v>
      </c>
      <c r="H26" s="470"/>
    </row>
    <row r="27" spans="1:8" ht="15.75" thickBot="1">
      <c r="A27" s="20" t="s">
        <v>1153</v>
      </c>
      <c r="B27" s="1106"/>
      <c r="C27" s="1106"/>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5"/>
      <c r="C29" s="1108"/>
      <c r="D29" s="26" t="str">
        <f t="shared" ref="D29:D30" si="4">CONCATENATE(A29,$B$28,$C$28)</f>
        <v>KUKAC5000Tolomatic</v>
      </c>
      <c r="E29" s="25" t="s">
        <v>1740</v>
      </c>
      <c r="F29" s="26">
        <v>1500</v>
      </c>
      <c r="G29" s="26">
        <v>7560</v>
      </c>
      <c r="H29" s="25" t="s">
        <v>1696</v>
      </c>
    </row>
    <row r="30" spans="1:8" ht="15.75" thickBot="1">
      <c r="A30" s="24" t="s">
        <v>1153</v>
      </c>
      <c r="B30" s="1106"/>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5"/>
      <c r="C32" s="1108"/>
      <c r="D32" s="26" t="str">
        <f t="shared" ref="D32:D33" si="5">CONCATENATE(A32,$B$31,$C$28)</f>
        <v>KUKAC8000Tolomatic</v>
      </c>
      <c r="E32" s="466" t="s">
        <v>1741</v>
      </c>
      <c r="F32" s="26">
        <v>1500</v>
      </c>
      <c r="G32" s="26">
        <v>11100</v>
      </c>
      <c r="H32" s="25" t="s">
        <v>1742</v>
      </c>
    </row>
    <row r="33" spans="1:8" ht="15.75" thickBot="1">
      <c r="A33" s="24" t="s">
        <v>1153</v>
      </c>
      <c r="B33" s="1106"/>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5"/>
      <c r="C35" s="1108"/>
      <c r="D35" s="26" t="str">
        <f t="shared" ref="D35:D36" si="6">CONCATENATE(A35,$B$34,$C$28)</f>
        <v>KUKAC8000 TunnelTolomatic</v>
      </c>
      <c r="E35" s="25" t="s">
        <v>1741</v>
      </c>
      <c r="F35" s="26">
        <v>1500</v>
      </c>
      <c r="G35" s="26">
        <v>11100</v>
      </c>
      <c r="H35" s="25">
        <v>28330051</v>
      </c>
    </row>
    <row r="36" spans="1:8" ht="15.75" thickBot="1">
      <c r="A36" s="24" t="s">
        <v>1153</v>
      </c>
      <c r="B36" s="1106"/>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5"/>
      <c r="C38" s="1108"/>
      <c r="D38" s="26" t="str">
        <f t="shared" ref="D38:D39" si="7">CONCATENATE(A38,$B$37,$C$28)</f>
        <v>KUKAX100Tolomatic</v>
      </c>
      <c r="E38" s="25" t="s">
        <v>1743</v>
      </c>
      <c r="F38" s="26">
        <v>2000</v>
      </c>
      <c r="G38" s="26">
        <v>14680</v>
      </c>
      <c r="H38" s="25">
        <v>28440189</v>
      </c>
    </row>
    <row r="39" spans="1:8" ht="15.75" thickBot="1">
      <c r="A39" s="24" t="s">
        <v>1153</v>
      </c>
      <c r="B39" s="1106"/>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5"/>
      <c r="C41" s="1108"/>
      <c r="D41" s="26" t="str">
        <f t="shared" ref="D41:D42" si="8">CONCATENATE(A41,$B$40,$C$28)</f>
        <v>KUKAX125Tolomatic</v>
      </c>
      <c r="E41" s="25" t="s">
        <v>1744</v>
      </c>
      <c r="F41" s="26">
        <v>2500</v>
      </c>
      <c r="G41" s="26">
        <v>24000</v>
      </c>
      <c r="H41" s="26">
        <v>28440191</v>
      </c>
    </row>
    <row r="42" spans="1:8" ht="15.75" thickBot="1">
      <c r="A42" s="20" t="s">
        <v>1153</v>
      </c>
      <c r="B42" s="1106"/>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5"/>
      <c r="C44" s="1108"/>
      <c r="D44" s="26" t="str">
        <f t="shared" ref="D44:D45" si="9">CONCATENATE(A44,$B$43,$C$28)</f>
        <v>KUKAX125 (Doppelzange)Tolomatic</v>
      </c>
      <c r="E44" s="25" t="s">
        <v>1745</v>
      </c>
      <c r="F44" s="26">
        <v>2500</v>
      </c>
      <c r="G44" s="26">
        <v>24000</v>
      </c>
      <c r="H44" s="26">
        <v>28440212</v>
      </c>
    </row>
    <row r="45" spans="1:8" ht="15.75" thickBot="1">
      <c r="A45" s="20" t="s">
        <v>1153</v>
      </c>
      <c r="B45" s="1106"/>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Blatt_1_1610R01</vt:lpstr>
      <vt:lpstr>Punktplan LTVL_4_1610</vt:lpstr>
      <vt:lpstr>Materialliste</vt:lpstr>
      <vt:lpstr>Motordaten</vt:lpstr>
      <vt:lpstr>Hinweise (Notes)</vt:lpstr>
      <vt:lpstr>Änderungshistorie</vt:lpstr>
      <vt:lpstr>'Blatt 0'!Area_de_impressao</vt:lpstr>
      <vt:lpstr>Blatt_1_1610R01!Area_de_impressao</vt:lpstr>
      <vt:lpstr>'Punktplan LTVL_4_1610'!Area_de_impressao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