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130R01" sheetId="38" r:id="rId2"/>
    <sheet name="Punktplan LTVR_1_113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LTVR_1_1130R01'!$M$19:$M$32</definedName>
    <definedName name="_xlnm.Print_Area" localSheetId="0">'Blatt 0'!$A$1:$AK$60</definedName>
    <definedName name="_xlnm.Print_Area" localSheetId="1">Blatt_1_1130R01!$A$1:$AK$60</definedName>
    <definedName name="_xlnm.Print_Area" localSheetId="2">'Punktplan LTVR_1_1130R01'!$A$1:$BB$58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4" i="14" l="1"/>
  <c r="CL35" i="14"/>
  <c r="CL36" i="14"/>
  <c r="CL37" i="14"/>
  <c r="CL38" i="14"/>
  <c r="CL39" i="14"/>
  <c r="CL40" i="14"/>
  <c r="CL41" i="14"/>
  <c r="CL42" i="14"/>
  <c r="CL4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J32" i="14"/>
  <c r="AL32" i="14"/>
  <c r="AJ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L25" i="14"/>
  <c r="AJ25" i="14"/>
  <c r="AC41" i="14"/>
  <c r="AB40" i="14"/>
  <c r="AE40" i="14" s="1"/>
  <c r="AC40" i="14"/>
  <c r="AB39" i="14"/>
  <c r="AE39" i="14" s="1"/>
  <c r="AB31" i="14"/>
  <c r="AC39" i="14"/>
  <c r="AJ24" i="14"/>
  <c r="AL24" i="14"/>
  <c r="AB38" i="14"/>
  <c r="AE38" i="14" s="1"/>
  <c r="AB30" i="14"/>
  <c r="AC38" i="14"/>
  <c r="AB43" i="14"/>
  <c r="AE43" i="14" s="1"/>
  <c r="AB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2" i="14"/>
  <c r="CH31" i="14"/>
  <c r="CH33" i="14"/>
  <c r="Q58" i="14"/>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Z32" i="14"/>
  <c r="Z35" i="14"/>
  <c r="AD35" i="14" s="1"/>
  <c r="Z37" i="14"/>
  <c r="AD37" i="14" s="1"/>
  <c r="Z39" i="14"/>
  <c r="AD39" i="14" s="1"/>
  <c r="Z19" i="14"/>
  <c r="AB26" i="14" l="1"/>
  <c r="CH26" i="14" s="1"/>
  <c r="AI33" i="14"/>
  <c r="AK33" i="14"/>
  <c r="AI32" i="14"/>
  <c r="AK32" i="14"/>
  <c r="AI30" i="14"/>
  <c r="AK30" i="14"/>
  <c r="AC30" i="14"/>
  <c r="AI31" i="14"/>
  <c r="AK31" i="14"/>
  <c r="AC31" i="14"/>
  <c r="AK29" i="14"/>
  <c r="AI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AD32" i="14" s="1"/>
  <c r="BV32" i="14"/>
  <c r="AE32" i="14" s="1"/>
  <c r="CL32" i="14" s="1"/>
  <c r="BW32" i="14"/>
  <c r="AC32" i="14" s="1"/>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AC33" i="14" s="1"/>
  <c r="BU33" i="14"/>
  <c r="AD33" i="14" s="1"/>
  <c r="BV33" i="14"/>
  <c r="AE33" i="14" s="1"/>
  <c r="CL33" i="14" s="1"/>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<sst xmlns="http://schemas.openxmlformats.org/spreadsheetml/2006/main" count="2180" uniqueCount="1950">
  <si>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</si>
  <si>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</si>
  <si>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</si>
  <si>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</si>
  <si>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</si>
  <si>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</si>
  <si>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</si>
  <si>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</si>
  <si>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</si>
  <si>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</si>
  <si>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</si>
  <si>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</si>
  <si>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</si>
  <si>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</si>
  <si>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</si>
  <si>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</si>
  <si>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</si>
  <si>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</si>
  <si>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</si>
  <si>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</si>
  <si>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</si>
  <si>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</si>
  <si>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</si>
  <si>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</si>
  <si>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</si>
  <si>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</si>
  <si>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</si>
  <si>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</si>
  <si>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</si>
  <si>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</si>
  <si>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</si>
  <si>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</si>
  <si>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</si>
  <si>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</si>
  <si>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</si>
  <si>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</si>
  <si>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</si>
  <si>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</si>
  <si>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</si>
  <si>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</si>
  <si>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</si>
  <si>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</si>
  <si>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</si>
  <si>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</si>
  <si>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</si>
  <si>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</si>
  <si>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</si>
  <si>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</si>
  <si>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</si>
  <si>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</si>
  <si>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</si>
  <si>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</si>
  <si>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</si>
  <si>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</si>
  <si>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</si>
  <si>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</si>
  <si>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</si>
  <si>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</si>
  <si>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</si>
  <si>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</si>
  <si>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</si>
  <si>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</si>
  <si>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</si>
  <si>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</si>
  <si>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</si>
  <si>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</si>
  <si>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</si>
  <si>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</si>
  <si>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</si>
  <si>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</si>
  <si>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</si>
  <si>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</si>
  <si>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</si>
  <si>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</si>
  <si>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</si>
  <si>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</si>
  <si>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</si>
  <si>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</si>
  <si>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</si>
  <si>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</si>
  <si>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</si>
  <si>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</si>
  <si>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</si>
  <si>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</si>
  <si>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</si>
  <si>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</si>
  <si>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</si>
  <si>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</si>
  <si>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</si>
  <si>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</si>
  <si>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</si>
  <si>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</si>
  <si>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</si>
  <si>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</si>
  <si>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</si>
  <si>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</si>
  <si>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</si>
  <si>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</si>
  <si>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</si>
  <si>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</si>
  <si>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</si>
  <si>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</si>
  <si>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</si>
  <si>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</si>
  <si>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</si>
  <si>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</si>
  <si>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</si>
  <si>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</si>
  <si>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</si>
  <si>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</si>
  <si>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</si>
  <si>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</si>
  <si>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</si>
  <si>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</si>
  <si>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</si>
  <si>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</si>
  <si>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</si>
  <si>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</si>
  <si>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</si>
  <si>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</si>
  <si>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</si>
  <si>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</si>
  <si>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</si>
  <si>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</si>
  <si>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</si>
  <si>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</si>
  <si>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</si>
  <si>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</si>
  <si>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</si>
  <si>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</si>
  <si>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</si>
  <si>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</si>
  <si>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</si>
  <si>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</si>
  <si>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</si>
  <si>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</si>
  <si>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</si>
  <si>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</si>
  <si>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</si>
  <si>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</si>
  <si>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</si>
  <si>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</si>
  <si>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</si>
  <si>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</si>
  <si>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</si>
  <si>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</si>
  <si>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</si>
  <si>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</si>
  <si>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</si>
  <si>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</si>
  <si>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</si>
  <si>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</si>
  <si>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</si>
  <si>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</si>
  <si>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</si>
  <si>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</si>
  <si>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</si>
  <si>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</si>
  <si>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</si>
  <si>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</si>
  <si>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</si>
  <si>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</si>
  <si>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</si>
  <si>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</si>
  <si>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</si>
  <si>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</si>
  <si>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</si>
  <si>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</si>
  <si>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</si>
  <si>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</si>
  <si>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</si>
  <si>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</si>
  <si>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</si>
  <si>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</si>
  <si>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</si>
  <si>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</si>
  <si>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</si>
  <si>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</si>
  <si>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</si>
  <si>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</si>
  <si>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</si>
  <si>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</si>
  <si>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</si>
  <si>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</si>
  <si>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</si>
  <si>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</si>
  <si>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</si>
  <si>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</si>
  <si>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</si>
  <si>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</si>
  <si>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</si>
  <si>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</si>
  <si>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</si>
  <si>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</si>
  <si>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</si>
  <si>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</si>
  <si>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</si>
  <si>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</si>
  <si>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</si>
  <si>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</si>
  <si>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</si>
  <si>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</si>
  <si>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</si>
  <si>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</si>
  <si>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</si>
  <si>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</si>
  <si>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</si>
  <si>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</si>
  <si>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</si>
  <si>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</si>
  <si>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</si>
  <si>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</si>
  <si>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</si>
  <si>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</si>
  <si>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</si>
  <si>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</si>
  <si>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</si>
  <si>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</si>
  <si>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</si>
  <si>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</si>
  <si>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</si>
  <si>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</si>
  <si>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</si>
  <si>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</si>
  <si>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</si>
  <si>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</si>
  <si>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</si>
  <si>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</si>
  <si>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</si>
  <si>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</si>
  <si>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</si>
  <si>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</si>
  <si>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</si>
  <si>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</si>
  <si>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</si>
  <si>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</si>
  <si>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</si>
  <si>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</si>
  <si>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</si>
  <si>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</si>
  <si>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</si>
  <si>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</si>
  <si>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</si>
  <si>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</si>
  <si>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</si>
  <si>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</si>
  <si>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</si>
  <si>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</si>
  <si>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</si>
  <si>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</si>
  <si>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</si>
  <si>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</si>
  <si>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</si>
  <si>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</si>
  <si>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</si>
  <si>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</si>
  <si>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</si>
  <si>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</si>
  <si>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</si>
  <si>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</si>
  <si>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</si>
  <si>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</si>
  <si>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</si>
  <si>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</si>
  <si>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</si>
  <si>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</si>
  <si>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</si>
  <si>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</si>
  <si>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</si>
  <si>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</si>
  <si>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</si>
  <si>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</si>
  <si>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</si>
  <si>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</si>
  <si>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</si>
  <si>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</si>
  <si>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</si>
  <si>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</si>
  <si>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</si>
  <si>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</si>
  <si>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</si>
  <si>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</si>
  <si>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</si>
  <si>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</si>
  <si>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</si>
  <si>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</si>
  <si>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</si>
  <si>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</si>
  <si>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</si>
  <si>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</si>
  <si>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</si>
  <si>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</si>
  <si>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</si>
  <si>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</si>
  <si>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</si>
  <si>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</si>
  <si>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</si>
  <si>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</si>
  <si>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</si>
  <si>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</si>
  <si>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</si>
  <si>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</si>
  <si>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</si>
  <si>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</si>
  <si>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</si>
  <si>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</si>
  <si>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</si>
  <si>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</si>
  <si>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</si>
  <si>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</si>
  <si>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</si>
  <si>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</si>
  <si>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</si>
  <si>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</si>
  <si>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</si>
  <si>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</si>
  <si>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</si>
  <si>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</si>
  <si>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</si>
  <si>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</si>
  <si>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</si>
  <si>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</si>
  <si>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</si>
  <si>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</si>
  <si>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</si>
  <si>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</si>
  <si>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</si>
  <si>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</si>
  <si>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</si>
  <si>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</si>
  <si>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</si>
  <si>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</si>
  <si>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</si>
  <si>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</si>
  <si>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</si>
  <si>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</si>
  <si>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</si>
  <si>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</si>
  <si>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</si>
  <si>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</si>
  <si>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</si>
  <si>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</si>
  <si>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</si>
  <si>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</si>
  <si>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</si>
  <si>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</si>
  <si>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</si>
  <si>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</si>
  <si>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</si>
  <si>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</si>
  <si>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</si>
  <si>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</si>
  <si>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</si>
  <si>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</si>
  <si>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</si>
  <si>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</si>
  <si>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</si>
  <si>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</si>
  <si>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</si>
  <si>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</si>
  <si>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</si>
  <si>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</si>
  <si>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</si>
  <si>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</si>
  <si>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</si>
  <si>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</si>
  <si>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</si>
  <si>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</si>
  <si>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</si>
  <si>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</si>
  <si>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</si>
  <si>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</si>
  <si>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</si>
  <si>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</si>
  <si>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</si>
  <si>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</si>
  <si>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</si>
  <si>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</si>
  <si>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</si>
  <si>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</si>
  <si>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</si>
  <si>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</si>
  <si>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</si>
  <si>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</si>
  <si>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</si>
  <si>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</si>
  <si>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</si>
  <si>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</si>
  <si>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</si>
  <si>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</si>
  <si>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</si>
  <si>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</si>
  <si>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</si>
  <si>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</si>
  <si>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</si>
  <si>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</si>
  <si>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</si>
  <si>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</si>
  <si>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</si>
  <si>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</si>
  <si>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</si>
  <si>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</si>
  <si>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</si>
  <si>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</si>
  <si>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</si>
  <si>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</si>
  <si>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</si>
  <si>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</si>
  <si>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</si>
  <si>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</si>
  <si>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</si>
  <si>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</si>
  <si>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</si>
  <si>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</si>
  <si>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</si>
  <si>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</si>
  <si>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</si>
  <si>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</si>
  <si>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</si>
  <si>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</si>
  <si>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</si>
  <si>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</si>
  <si>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</si>
  <si>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</si>
  <si>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</si>
  <si>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</si>
  <si>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</si>
  <si>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</si>
  <si>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</si>
  <si>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</si>
  <si>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</si>
  <si>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</si>
  <si>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</si>
  <si>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</si>
  <si>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</si>
  <si>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</si>
  <si>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</si>
  <si>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</si>
  <si>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</si>
  <si>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</si>
  <si>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</si>
  <si>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</si>
  <si>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</si>
  <si>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</si>
  <si>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</si>
  <si>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</si>
  <si>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</si>
  <si>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</si>
  <si>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</si>
  <si>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</si>
  <si>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</si>
  <si>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</si>
  <si>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</si>
  <si>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</si>
  <si>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</si>
  <si>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</si>
  <si>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</si>
  <si>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</si>
  <si>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</si>
  <si>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</si>
  <si>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</si>
  <si>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</si>
  <si>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</si>
  <si>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</si>
  <si>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</si>
  <si>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</si>
  <si>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</si>
  <si>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</si>
  <si>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</si>
  <si>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</si>
  <si>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</si>
  <si>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</si>
  <si>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</si>
  <si>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</si>
  <si>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</si>
  <si>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</si>
  <si>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</si>
  <si>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</si>
  <si>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</si>
  <si>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</si>
  <si>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</si>
  <si>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</si>
  <si>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</si>
  <si>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</si>
  <si>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</si>
  <si>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</si>
  <si>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</si>
  <si>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</si>
  <si>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</si>
  <si>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</si>
  <si>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</si>
  <si>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</si>
  <si>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</si>
  <si>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</si>
  <si>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</si>
  <si>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</si>
  <si>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</si>
  <si>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</si>
  <si>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</si>
  <si>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</si>
  <si>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</si>
  <si>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</si>
  <si>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</si>
  <si>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</si>
  <si>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</si>
  <si>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</si>
  <si>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</si>
  <si>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</si>
  <si>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</si>
  <si>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</si>
  <si>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</si>
  <si>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</si>
  <si>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</si>
  <si>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</si>
  <si>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</si>
  <si>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</si>
  <si>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</si>
  <si>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</si>
  <si>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</si>
  <si>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</si>
  <si>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</si>
  <si>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</si>
  <si>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</si>
  <si>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</si>
  <si>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</si>
  <si>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</si>
  <si>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</si>
  <si>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</si>
  <si>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</si>
  <si>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</si>
  <si>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</si>
  <si>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</si>
  <si>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</si>
  <si>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</si>
  <si>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</si>
  <si>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</si>
  <si>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</si>
  <si>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</si>
  <si>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</si>
  <si>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</si>
  <si>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</si>
  <si>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</si>
  <si>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</si>
  <si>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</si>
  <si>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</si>
  <si>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</si>
  <si>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</si>
  <si>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</si>
  <si>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</si>
  <si>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</si>
  <si>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</si>
  <si>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</si>
  <si>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</si>
  <si>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</si>
  <si>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</si>
  <si>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</si>
  <si>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</si>
  <si>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</si>
  <si>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</si>
  <si>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</si>
  <si>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</si>
  <si>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</si>
  <si>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</si>
  <si>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</si>
  <si>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</si>
  <si>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</si>
  <si>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</si>
  <si>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</si>
  <si>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</si>
  <si>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</si>
  <si>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</si>
  <si>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</si>
  <si>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</si>
  <si>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</si>
  <si>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</si>
  <si>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</si>
  <si>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</si>
  <si>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</si>
  <si>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</si>
  <si>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</si>
  <si>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</si>
  <si>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</si>
  <si>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</si>
  <si>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</si>
  <si>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</si>
  <si>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</si>
  <si>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</si>
  <si>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</si>
  <si>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</si>
  <si>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</si>
  <si>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</si>
  <si>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</si>
  <si>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</si>
  <si>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</si>
  <si>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</si>
  <si>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</si>
  <si>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</si>
  <si>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</si>
  <si>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</si>
  <si>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</si>
  <si>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</si>
  <si>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</si>
  <si>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</si>
  <si>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</si>
  <si>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</si>
  <si>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</si>
  <si>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</si>
  <si>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</si>
  <si>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</si>
  <si>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</si>
  <si>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</si>
  <si>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</si>
  <si>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</si>
  <si>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</si>
  <si>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</si>
  <si>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</si>
  <si>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</si>
  <si>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</si>
  <si>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</si>
  <si>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</si>
  <si>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</si>
  <si>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</si>
  <si>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</si>
  <si>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</si>
  <si>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</si>
  <si>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</si>
  <si>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</si>
  <si>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</si>
  <si>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</si>
  <si>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</si>
  <si>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</si>
  <si>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</si>
  <si>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</si>
  <si>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</si>
  <si>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</si>
  <si>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</si>
  <si>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</si>
  <si>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</si>
  <si>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</si>
  <si>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</si>
  <si>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</si>
  <si>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</si>
  <si>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</si>
  <si>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</si>
  <si>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</si>
  <si>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</si>
  <si>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</si>
  <si>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</si>
  <si>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</si>
  <si>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</si>
  <si>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</si>
  <si>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</si>
  <si>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</si>
  <si>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</si>
  <si>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</si>
  <si>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</si>
  <si>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</si>
  <si>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</si>
  <si>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</si>
  <si>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</si>
  <si>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</si>
  <si>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</si>
  <si>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</si>
  <si>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</si>
  <si>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</si>
  <si>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</si>
  <si>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</si>
  <si>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</si>
  <si>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</si>
  <si>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</si>
  <si>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</si>
  <si>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</si>
  <si>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</si>
  <si>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</si>
  <si>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</si>
  <si>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</si>
  <si>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</si>
  <si>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</si>
  <si>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</si>
  <si>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</si>
  <si>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</si>
  <si>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</si>
  <si>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</si>
  <si>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</si>
  <si>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</si>
  <si>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</si>
  <si>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</si>
  <si>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</si>
  <si>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</si>
  <si>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</si>
  <si>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</si>
  <si>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</si>
  <si>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</si>
  <si>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</si>
  <si>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</si>
  <si>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</si>
  <si>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</si>
  <si>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</si>
  <si>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</si>
  <si>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</si>
  <si>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</si>
  <si>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</si>
  <si>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</si>
  <si>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</si>
  <si>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</si>
  <si>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</si>
  <si>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</si>
  <si>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</si>
  <si>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</si>
  <si>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</si>
  <si>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</si>
  <si>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</si>
  <si>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</si>
  <si>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</si>
  <si>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</si>
  <si>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</si>
  <si>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</si>
  <si>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</si>
  <si>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</si>
  <si>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</si>
  <si>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</si>
  <si>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</si>
  <si>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</si>
  <si>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</si>
  <si>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</si>
  <si>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</si>
  <si>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</si>
  <si>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</si>
  <si>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</si>
  <si>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</si>
  <si>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</si>
  <si>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</si>
  <si>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</si>
  <si>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</si>
  <si>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</si>
  <si>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</si>
  <si>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</si>
  <si>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</si>
  <si>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</si>
  <si>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</si>
  <si>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</si>
  <si>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</si>
  <si>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</si>
  <si>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</si>
  <si>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</si>
  <si>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</si>
  <si>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</si>
  <si>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</si>
  <si>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</si>
  <si>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</si>
  <si>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</si>
  <si>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</si>
  <si>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</si>
  <si>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</si>
  <si>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</si>
  <si>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</si>
  <si>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</si>
  <si>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</si>
  <si>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</si>
  <si>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</si>
  <si>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</si>
  <si>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</si>
  <si>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</si>
  <si>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</si>
  <si>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</si>
  <si>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</si>
  <si>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</si>
  <si>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</si>
  <si>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</si>
  <si>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</si>
  <si>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</si>
  <si>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</si>
  <si>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</si>
  <si>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</si>
  <si>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</si>
  <si>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</si>
  <si>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</si>
  <si>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</si>
  <si>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</si>
  <si>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</si>
  <si>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</si>
  <si>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</si>
  <si>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</si>
  <si>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</si>
  <si>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</si>
  <si>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</si>
  <si>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</si>
  <si>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</si>
  <si>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</si>
  <si>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</si>
  <si>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</si>
  <si>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</si>
  <si>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</si>
  <si>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</si>
  <si>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</si>
  <si>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</si>
  <si>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</si>
  <si>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</si>
  <si>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</si>
  <si>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</si>
  <si>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</si>
  <si>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</si>
  <si>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</si>
  <si>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</si>
  <si>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</si>
  <si>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</si>
  <si>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</si>
  <si>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</si>
  <si>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</si>
  <si>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</si>
  <si>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</si>
  <si>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</si>
  <si>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</si>
  <si>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</si>
  <si>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</si>
  <si>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</si>
  <si>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</si>
  <si>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</si>
  <si>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</si>
  <si>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</si>
  <si>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</si>
  <si>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</si>
  <si>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</si>
  <si>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</si>
  <si>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</si>
  <si>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</si>
  <si>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</si>
  <si>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</si>
  <si>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</si>
  <si>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</si>
  <si>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</si>
  <si>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</si>
  <si>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</si>
  <si>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</si>
  <si>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</si>
  <si>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</si>
  <si>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</si>
  <si>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</si>
  <si>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</si>
  <si>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</si>
  <si>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</si>
  <si>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</si>
  <si>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</si>
  <si>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</si>
  <si>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</si>
  <si>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</si>
  <si>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</si>
  <si>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</si>
  <si>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</si>
  <si>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</si>
  <si>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</si>
  <si>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</si>
  <si>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</si>
  <si>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</si>
  <si>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</si>
  <si>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</si>
  <si>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</si>
  <si>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</si>
  <si>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</si>
  <si>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</si>
  <si>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</si>
  <si>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</si>
  <si>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</si>
  <si>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</si>
  <si>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</si>
  <si>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</si>
  <si>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</si>
  <si>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</si>
  <si>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</si>
  <si>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</si>
  <si>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</si>
  <si>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</si>
  <si>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</si>
  <si>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</si>
  <si>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</si>
  <si>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</si>
  <si>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</si>
  <si>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</si>
  <si>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</si>
  <si>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</si>
  <si>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</si>
  <si>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</si>
  <si>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</si>
  <si>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</si>
  <si>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</si>
  <si>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</si>
  <si>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</si>
  <si>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</si>
  <si>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</si>
  <si>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</si>
  <si>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</si>
  <si>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</si>
  <si>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</si>
  <si>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</si>
  <si>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</si>
  <si>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</si>
  <si>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</si>
  <si>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</si>
  <si>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</si>
  <si>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</si>
  <si>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</si>
  <si>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</si>
  <si>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</si>
  <si>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</si>
  <si>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</si>
  <si>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</si>
  <si>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</si>
  <si>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</si>
  <si>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</si>
  <si>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</si>
  <si>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</si>
  <si>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</si>
  <si>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</si>
  <si>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</si>
  <si>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</si>
  <si>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</si>
  <si>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</si>
  <si>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</si>
  <si>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</si>
  <si>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</si>
  <si>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</si>
  <si>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</si>
  <si>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</si>
  <si>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</si>
  <si>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</si>
  <si>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</si>
  <si>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</si>
  <si>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</si>
  <si>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</si>
  <si>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</si>
  <si>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</si>
  <si>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</si>
  <si>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</si>
  <si>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</si>
  <si>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</si>
  <si>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</si>
  <si>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</si>
  <si>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</si>
  <si>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</si>
  <si>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</si>
  <si>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</si>
  <si>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</si>
  <si>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</si>
  <si>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</si>
  <si>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</si>
  <si>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</si>
  <si>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</si>
  <si>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</si>
  <si>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</si>
  <si>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</si>
  <si>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</si>
  <si>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</si>
  <si>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</si>
  <si>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</si>
  <si>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</si>
  <si>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</si>
  <si>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</si>
  <si>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</si>
  <si>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</si>
  <si>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</si>
  <si>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</si>
  <si>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</si>
  <si>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</si>
  <si>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</si>
  <si>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</si>
  <si>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</si>
  <si>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</si>
  <si>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</si>
  <si>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</si>
  <si>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</si>
  <si>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</si>
  <si>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</si>
  <si>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</si>
  <si>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</si>
  <si>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</si>
  <si>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</si>
  <si>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</si>
  <si>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</si>
  <si>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</si>
  <si>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</si>
  <si>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</si>
  <si>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</si>
  <si>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</si>
  <si>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</si>
  <si>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</si>
  <si>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</si>
  <si>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</si>
  <si>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</si>
  <si>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</si>
  <si>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</si>
  <si>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</si>
  <si>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</si>
  <si>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</si>
  <si>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</si>
  <si>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</si>
  <si>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</si>
  <si>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</si>
  <si>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</si>
  <si>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</si>
  <si>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</si>
  <si>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</si>
  <si>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</si>
  <si>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</si>
  <si>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</si>
  <si>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</si>
  <si>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</si>
  <si>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</si>
  <si>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</si>
  <si>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</si>
  <si>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</si>
  <si>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</si>
  <si>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</si>
  <si>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</si>
  <si>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</si>
  <si>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</si>
  <si>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</si>
  <si>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</si>
  <si>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</si>
  <si>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</si>
  <si>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</si>
  <si>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</si>
  <si>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</si>
  <si>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</si>
  <si>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</si>
  <si>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</si>
  <si>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</si>
  <si>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</si>
  <si>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</si>
  <si>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</si>
  <si>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</si>
  <si>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</si>
  <si>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</si>
  <si>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</si>
  <si>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</si>
  <si>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</si>
  <si>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</si>
  <si>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</si>
  <si>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</si>
  <si>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</si>
  <si>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</si>
  <si>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</si>
  <si>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</si>
  <si>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</si>
  <si>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</si>
  <si>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</si>
  <si>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</si>
  <si>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</si>
  <si>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</si>
  <si>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</si>
  <si>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</si>
  <si>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</si>
  <si>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</si>
  <si>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</si>
  <si>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</si>
  <si>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</si>
  <si>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</si>
  <si>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</si>
  <si>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</si>
  <si>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</si>
  <si>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</si>
  <si>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</si>
  <si>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</si>
  <si>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</si>
  <si>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</si>
  <si>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</si>
  <si>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</si>
  <si>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</si>
  <si>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</si>
  <si>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</si>
  <si>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</si>
  <si>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</si>
  <si>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</si>
  <si>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</si>
  <si>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</si>
  <si>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</si>
  <si>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</si>
  <si>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</si>
  <si>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</si>
  <si>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</si>
  <si>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</si>
  <si>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</si>
  <si>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</si>
  <si>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</si>
  <si>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</si>
  <si>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</si>
  <si>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</si>
  <si>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</si>
  <si>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</si>
  <si>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</si>
  <si>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</si>
  <si>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</si>
  <si>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</si>
  <si>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</si>
  <si>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</si>
  <si>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</si>
  <si>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</si>
  <si>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</si>
  <si>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</si>
  <si>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</si>
  <si>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</si>
  <si>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</si>
  <si>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</si>
  <si>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</si>
  <si>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</si>
  <si>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</si>
  <si>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</si>
  <si>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</si>
  <si>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</si>
  <si>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</si>
  <si>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</si>
  <si>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</si>
  <si>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</si>
  <si>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</si>
  <si>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</si>
  <si>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</si>
  <si>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</si>
  <si>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</si>
  <si>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</si>
  <si>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</si>
  <si>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</si>
  <si>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</si>
  <si>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</si>
  <si>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</si>
  <si>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</si>
  <si>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</si>
  <si>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</si>
  <si>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</si>
  <si>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</si>
  <si>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</si>
  <si>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</si>
  <si>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</si>
  <si>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</si>
  <si>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</si>
  <si>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</si>
  <si>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</si>
  <si>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</si>
  <si>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</si>
  <si>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</si>
  <si>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</si>
  <si>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</si>
  <si>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</si>
  <si>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</si>
  <si>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</si>
  <si>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</si>
  <si>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</si>
  <si>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</si>
  <si>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</si>
  <si>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</si>
  <si>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</si>
  <si>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</si>
  <si>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</si>
  <si>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</si>
  <si>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</si>
  <si>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</si>
  <si>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</si>
  <si>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</si>
  <si>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</si>
  <si>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</si>
  <si>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</si>
  <si>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</si>
  <si>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</si>
  <si>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</si>
  <si>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</si>
  <si>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</si>
  <si>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</si>
  <si>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</si>
  <si>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</si>
  <si>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</si>
  <si>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</si>
  <si>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</si>
  <si>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</si>
  <si>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</si>
  <si>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</si>
  <si>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</si>
  <si>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</si>
  <si>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</si>
  <si>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</si>
  <si>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</si>
  <si>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</si>
  <si>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</si>
  <si>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</si>
  <si>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</si>
  <si>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</si>
  <si>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</si>
  <si>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</si>
  <si>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</si>
  <si>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</si>
  <si>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</si>
  <si>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</si>
  <si>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</si>
  <si>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</si>
  <si>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</si>
  <si>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</si>
  <si>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</si>
  <si>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</si>
  <si>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</si>
  <si>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</si>
  <si>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</si>
  <si>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</si>
  <si>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</si>
  <si>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</si>
  <si>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</si>
  <si>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</si>
  <si>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</si>
  <si>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</si>
  <si>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</si>
  <si>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</si>
  <si>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</si>
  <si>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</si>
  <si>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</si>
  <si>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</si>
  <si>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</si>
  <si>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</si>
  <si>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</si>
  <si>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</si>
  <si>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</si>
  <si>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</si>
  <si>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</si>
  <si>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</si>
  <si>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</si>
  <si>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</si>
  <si>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</si>
  <si>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</si>
  <si>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</si>
  <si>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</si>
  <si>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</si>
  <si>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</si>
  <si>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</si>
  <si>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</si>
  <si>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</si>
  <si>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</si>
  <si>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</si>
  <si>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</si>
  <si>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</si>
  <si>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</si>
  <si>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</si>
  <si>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</si>
  <si>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</si>
  <si>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</si>
  <si>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</si>
  <si>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</si>
  <si>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</si>
  <si>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</si>
  <si>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</si>
  <si>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</si>
  <si>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</si>
  <si>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</si>
  <si>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</si>
  <si>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</si>
  <si>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</si>
  <si>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</si>
  <si>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</si>
  <si>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</si>
  <si>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</si>
  <si>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</si>
  <si>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</si>
  <si>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</si>
  <si>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</si>
  <si>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</si>
  <si>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</si>
  <si>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</si>
  <si>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</si>
  <si>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</si>
  <si>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</si>
  <si>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</si>
  <si>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</si>
  <si>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</si>
  <si>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</si>
  <si>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</si>
  <si>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</si>
  <si>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</si>
  <si>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</si>
  <si>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</si>
  <si>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</si>
  <si>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</si>
  <si>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</si>
  <si>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</si>
  <si>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</si>
  <si>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</si>
  <si>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</si>
  <si>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</si>
  <si>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</si>
  <si>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</si>
  <si>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</si>
  <si>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</si>
  <si>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</si>
  <si>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</si>
  <si>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</si>
  <si>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</si>
  <si>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</si>
  <si>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</si>
  <si>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</si>
  <si>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</si>
  <si>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</si>
  <si>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</si>
  <si>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</si>
  <si>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</si>
  <si>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</si>
  <si>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</si>
  <si>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</si>
  <si>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</si>
  <si>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</si>
  <si>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</si>
  <si>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</si>
  <si>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</si>
  <si>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</si>
  <si>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</si>
  <si>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</si>
  <si>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</si>
  <si>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</si>
  <si>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</si>
  <si>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</si>
  <si>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</si>
  <si>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</si>
  <si>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</si>
  <si>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</si>
  <si>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</si>
  <si>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</si>
  <si>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</si>
  <si>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</si>
  <si>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</si>
  <si>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</si>
  <si>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</si>
  <si>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</si>
  <si>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</si>
  <si>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</si>
  <si>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</si>
  <si>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</si>
  <si>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</si>
  <si>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</si>
  <si>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</si>
  <si>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</si>
  <si>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</si>
  <si>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</si>
  <si>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</si>
  <si>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</si>
  <si>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</si>
  <si>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</si>
  <si>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</si>
  <si>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</si>
  <si>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</si>
  <si>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</si>
  <si>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</si>
  <si>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</si>
  <si>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</si>
  <si>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</si>
  <si>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</si>
  <si>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</si>
  <si>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</si>
  <si>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</si>
  <si>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</si>
  <si>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</si>
  <si>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</si>
  <si>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</si>
  <si>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</si>
  <si>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</si>
  <si>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</si>
  <si>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</si>
  <si>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</si>
  <si>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</si>
  <si>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</si>
  <si>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</si>
  <si>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</si>
  <si>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</si>
  <si>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</si>
  <si>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</si>
  <si>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</si>
  <si>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</si>
  <si>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</si>
  <si>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</si>
  <si>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</si>
  <si>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</si>
  <si>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</si>
  <si>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</si>
  <si>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</si>
  <si>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</si>
  <si>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</si>
  <si>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</si>
  <si>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</si>
  <si>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</si>
  <si>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</si>
  <si>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</si>
  <si>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</si>
  <si>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</si>
  <si>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</si>
  <si>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</si>
  <si>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</si>
  <si>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</si>
  <si>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</si>
  <si>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</si>
  <si>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</si>
  <si>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</si>
  <si>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</si>
  <si>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</si>
  <si>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</si>
  <si>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</si>
  <si>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</si>
  <si>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</si>
  <si>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</si>
  <si>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</si>
  <si>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</si>
  <si>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</si>
  <si>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</si>
  <si>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</si>
  <si>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</si>
  <si>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</si>
  <si>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</si>
  <si>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</si>
  <si>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</si>
  <si>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</si>
  <si>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</si>
  <si>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</si>
  <si>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</si>
  <si>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</si>
  <si>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</si>
  <si>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</si>
  <si>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</si>
  <si>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</si>
  <si>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</si>
  <si>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</si>
  <si>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</si>
  <si>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</si>
  <si>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</si>
  <si>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</si>
  <si>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</si>
  <si>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</si>
  <si>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</si>
  <si>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</si>
  <si>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</si>
  <si>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</si>
  <si>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</si>
  <si>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</si>
  <si>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</si>
  <si>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</si>
  <si>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</si>
  <si>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</si>
  <si>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</si>
  <si>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</si>
  <si>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</si>
  <si>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</si>
  <si>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</si>
  <si>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</si>
  <si>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</si>
  <si>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</si>
  <si>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</si>
  <si>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</si>
  <si>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</si>
  <si>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</si>
  <si>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</si>
  <si>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</si>
  <si>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</si>
  <si>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</si>
  <si>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</si>
  <si>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</si>
  <si>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</si>
  <si>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</si>
  <si>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</si>
  <si>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</si>
  <si>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</si>
  <si>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</si>
  <si>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</si>
  <si>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</si>
  <si>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</si>
  <si>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</si>
  <si>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</si>
  <si>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</si>
  <si>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</si>
  <si>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</si>
  <si>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</si>
  <si>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</si>
  <si>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</si>
  <si>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</si>
  <si>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</si>
  <si>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</si>
  <si>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</si>
  <si>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</si>
  <si>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</si>
  <si>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</si>
  <si>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</si>
  <si>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</si>
  <si>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</si>
  <si>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</si>
  <si>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</si>
  <si>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</si>
  <si>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</si>
  <si>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</si>
  <si>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</si>
  <si>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</si>
  <si>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</si>
  <si>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</si>
  <si>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</si>
  <si>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</si>
  <si>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</si>
  <si>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</si>
  <si>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</si>
  <si>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</si>
  <si>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</si>
  <si>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</si>
  <si>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</si>
  <si>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</si>
  <si>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</si>
  <si>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</si>
  <si>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</si>
  <si>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</si>
  <si>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</si>
  <si>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</si>
  <si>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</si>
  <si>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</si>
  <si>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</si>
  <si>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</si>
  <si>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</si>
  <si>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</si>
  <si>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</si>
  <si>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</si>
  <si>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</si>
  <si>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</si>
  <si>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</si>
  <si>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</si>
  <si>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</si>
  <si>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</si>
  <si>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</si>
  <si>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</si>
  <si>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</si>
  <si>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</si>
  <si>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</si>
  <si>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</si>
  <si>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</si>
  <si>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</si>
  <si>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</si>
  <si>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</si>
  <si>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</si>
  <si>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</si>
  <si>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</si>
  <si>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</si>
  <si>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</si>
  <si>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</si>
  <si>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</si>
  <si>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</si>
  <si>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</si>
  <si>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</si>
  <si>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</si>
  <si>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</si>
  <si>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</si>
  <si>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</si>
  <si>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</si>
  <si>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</si>
  <si>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</si>
  <si>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</si>
  <si>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</si>
  <si>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</si>
  <si>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</si>
  <si>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</si>
  <si>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</si>
  <si>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</si>
  <si>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</si>
  <si>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</si>
  <si>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</si>
  <si>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</si>
  <si>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</si>
  <si>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</si>
  <si>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</si>
  <si>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</si>
  <si>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</si>
  <si>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</si>
  <si>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</si>
  <si>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</si>
  <si>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</si>
  <si>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</si>
  <si>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</si>
  <si>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</si>
  <si>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</si>
  <si>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</si>
  <si>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</si>
  <si>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</si>
  <si>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</si>
  <si>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</si>
  <si>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</si>
  <si>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</si>
  <si>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</si>
  <si>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</si>
  <si>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</si>
  <si>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</si>
  <si>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</si>
  <si>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</si>
  <si>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</si>
  <si>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</si>
  <si>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</si>
  <si>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</si>
  <si>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</si>
  <si>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</si>
  <si>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</si>
  <si>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</si>
  <si>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</si>
  <si>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</si>
  <si>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</si>
  <si>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</si>
  <si>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</si>
  <si>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</si>
  <si>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</si>
  <si>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</si>
  <si>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</si>
  <si>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</si>
  <si>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</si>
  <si>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</si>
  <si>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</si>
  <si>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</si>
  <si>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</si>
  <si>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</si>
  <si>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</si>
  <si>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</si>
  <si>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</si>
  <si>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</si>
  <si>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</si>
  <si>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</si>
  <si>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</si>
  <si>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</si>
  <si>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</si>
  <si>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</si>
  <si>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</si>
  <si>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</si>
  <si>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</si>
  <si>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</si>
  <si>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</si>
  <si>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</si>
  <si>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</si>
  <si>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</si>
  <si>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</si>
  <si>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</si>
  <si>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</si>
  <si>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</si>
  <si>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</si>
  <si>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</si>
  <si>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</si>
  <si>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</si>
  <si>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</si>
  <si>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</si>
  <si>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</si>
  <si>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</si>
  <si>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</si>
  <si>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</si>
  <si>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</si>
  <si>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</si>
  <si>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</si>
  <si>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</si>
  <si>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</si>
  <si>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</si>
  <si>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</si>
  <si>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</si>
  <si>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</si>
  <si>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</si>
  <si>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</si>
  <si>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</si>
  <si>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</si>
  <si>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</si>
  <si>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</si>
  <si>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</si>
  <si>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</si>
  <si>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</si>
  <si>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</si>
  <si>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</si>
  <si>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</si>
  <si>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</si>
  <si>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</si>
  <si>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</si>
  <si>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</si>
  <si>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</si>
  <si>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</si>
  <si>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</si>
  <si>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</si>
  <si>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</si>
  <si>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</si>
  <si>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X</t>
  </si>
  <si>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</si>
  <si>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</si>
  <si>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</si>
  <si>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</si>
  <si>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</si>
  <si>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</si>
  <si>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</si>
  <si>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</si>
  <si>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</si>
  <si>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</si>
  <si>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</si>
  <si>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</si>
  <si>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</si>
  <si>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</si>
  <si>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</si>
  <si>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</si>
  <si>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</si>
  <si>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</si>
  <si>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</si>
  <si>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</si>
  <si>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</si>
  <si>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</si>
  <si>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</si>
  <si>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</si>
  <si>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</si>
  <si>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</si>
  <si>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</si>
  <si>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</si>
  <si>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</si>
  <si>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</si>
  <si>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</si>
  <si>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</si>
  <si>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</si>
  <si>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</si>
  <si>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</si>
  <si>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</si>
  <si>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</si>
  <si>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</si>
  <si>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</si>
  <si>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</si>
  <si>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</si>
  <si>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</si>
  <si>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</si>
  <si>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</si>
  <si>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</si>
  <si>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</si>
  <si>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</si>
  <si>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</si>
  <si>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</si>
  <si>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</si>
  <si>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</si>
  <si>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</si>
  <si>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</si>
  <si>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</si>
  <si>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</si>
  <si>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</si>
  <si>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</si>
  <si>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</si>
  <si>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</si>
  <si>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</si>
  <si>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</si>
  <si>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</si>
  <si>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</si>
  <si>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</si>
  <si>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</si>
  <si>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</si>
  <si>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</si>
  <si>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</si>
  <si>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</si>
  <si>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</si>
  <si>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</si>
  <si>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</si>
  <si>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</si>
  <si>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</si>
  <si>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</si>
  <si>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</si>
  <si>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</si>
  <si>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</si>
  <si>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</si>
  <si>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</si>
  <si>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</si>
  <si>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</si>
  <si>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</si>
  <si>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</si>
  <si>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</si>
  <si>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</si>
  <si>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</si>
  <si>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</si>
  <si>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</si>
  <si>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</si>
  <si>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</si>
  <si>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</si>
  <si>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</si>
  <si>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</si>
  <si>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</si>
  <si>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</si>
  <si>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</si>
  <si>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</si>
  <si>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</si>
  <si>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</si>
  <si>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</si>
  <si>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</si>
  <si>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</si>
  <si>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</si>
  <si>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</si>
  <si>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</si>
  <si>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</si>
  <si>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</si>
  <si>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</si>
  <si>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</si>
  <si>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</si>
  <si>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</si>
  <si>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</si>
  <si>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</si>
  <si>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</si>
  <si>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</si>
  <si>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</si>
  <si>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</si>
  <si>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</si>
  <si>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</si>
  <si>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</si>
  <si>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</si>
  <si>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</si>
  <si>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</si>
  <si>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</si>
  <si>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</si>
  <si>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</si>
  <si>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</si>
  <si>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</si>
  <si>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</si>
  <si>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</si>
  <si>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</si>
  <si>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</si>
  <si>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</si>
  <si>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</si>
  <si>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</si>
  <si>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</si>
  <si>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</si>
  <si>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</si>
  <si>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</si>
  <si>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</si>
  <si>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</si>
  <si>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</si>
  <si>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</si>
  <si>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</si>
  <si>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</si>
  <si>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</si>
  <si>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</si>
  <si>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</si>
  <si>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</si>
  <si>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</si>
  <si>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</si>
  <si>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</si>
  <si>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</si>
  <si>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</si>
  <si>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</si>
  <si>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</si>
  <si>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</si>
  <si>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</si>
  <si>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</si>
  <si>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</si>
  <si>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</si>
  <si>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</si>
  <si>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</si>
  <si>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</si>
  <si>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</si>
  <si>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</si>
  <si>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</si>
  <si>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</si>
  <si>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</si>
  <si>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</si>
  <si>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</si>
  <si>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</si>
  <si>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</si>
  <si>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</si>
  <si>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</si>
  <si>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</si>
  <si>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</si>
  <si>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</si>
  <si>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</si>
  <si>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</si>
  <si>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</si>
  <si>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</si>
  <si>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</si>
  <si>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</si>
  <si>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</si>
  <si>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</si>
  <si>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</si>
  <si>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</si>
  <si>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</si>
  <si>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</si>
  <si>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</si>
  <si>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</si>
  <si>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</si>
  <si>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</si>
  <si>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</si>
  <si>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</si>
  <si>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</si>
  <si>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</si>
  <si>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</si>
  <si>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</si>
  <si>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</si>
  <si>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</si>
  <si>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</si>
  <si>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</si>
  <si>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</si>
  <si>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</si>
  <si>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</si>
  <si>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</si>
  <si>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</si>
  <si>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</si>
  <si>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</si>
  <si>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</si>
  <si>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</si>
  <si>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</si>
  <si>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</si>
  <si>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</si>
  <si>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</si>
  <si>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</si>
  <si>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</si>
  <si>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</si>
  <si>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</si>
  <si>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</si>
  <si>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</si>
  <si>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</si>
  <si>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</si>
  <si>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</si>
  <si>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</si>
  <si>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</si>
  <si>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</si>
  <si>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</si>
  <si>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</si>
  <si>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</si>
  <si>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</si>
  <si>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</si>
  <si>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</si>
  <si>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</si>
  <si>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</si>
  <si>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</si>
  <si>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</si>
  <si>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</si>
  <si>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</si>
  <si>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</si>
  <si>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</si>
  <si>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</si>
  <si>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</si>
  <si>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</si>
  <si>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</si>
  <si>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</si>
  <si>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</si>
  <si>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</si>
  <si>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</si>
  <si>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</si>
  <si>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</si>
  <si>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</si>
  <si>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</si>
  <si>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</si>
  <si>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</si>
  <si>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5QA.803.210</t>
  </si>
  <si>
    <t>5QA.803.106</t>
  </si>
  <si>
    <t>5Q0.804.132</t>
  </si>
  <si>
    <t>ST1130</t>
  </si>
  <si>
    <t>7,11510</t>
  </si>
  <si>
    <t>5qa802035b_002_bps0003_R</t>
  </si>
  <si>
    <t>KJLTVR111130R01</t>
  </si>
  <si>
    <t>66-59D363988</t>
  </si>
  <si>
    <t>7,11511</t>
  </si>
  <si>
    <t>5qa802035b_002_bps0004_R</t>
  </si>
  <si>
    <t>7,11512</t>
  </si>
  <si>
    <t>5qa802035b_012_mps0001_R</t>
  </si>
  <si>
    <t>7,11513</t>
  </si>
  <si>
    <t>5qa802035b_012_mps0002_R</t>
  </si>
  <si>
    <t>7,11514</t>
  </si>
  <si>
    <t>5qa802035b_012_mps0004_R</t>
  </si>
  <si>
    <t>7,11515</t>
  </si>
  <si>
    <t>5qa802035b_012_mps0003_R</t>
  </si>
  <si>
    <t>7,11516</t>
  </si>
  <si>
    <t>5qa802035b_012_mps0005_R</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</si>
</sst>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1130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6" name="Rechteck 28">
          <a:extLst>
            <a:ext uri="{FF2B5EF4-FFF2-40B4-BE49-F238E27FC236}">
              <a16:creationId xmlns="" xmlns:a16="http://schemas.microsoft.com/office/drawing/2014/main" id="{00000000-0008-0000-0100-000006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7" name="Text Box 147">
          <a:extLst>
            <a:ext uri="{FF2B5EF4-FFF2-40B4-BE49-F238E27FC236}">
              <a16:creationId xmlns="" xmlns:a16="http://schemas.microsoft.com/office/drawing/2014/main" id="{00000000-0008-0000-0100-000007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1130R01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363988/176</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10</xdr:col>
      <xdr:colOff>103868</xdr:colOff>
      <xdr:row>10</xdr:row>
      <xdr:rowOff>95250</xdr:rowOff>
    </xdr:from>
    <xdr:to>
      <xdr:col>34</xdr:col>
      <xdr:colOff>72254</xdr:colOff>
      <xdr:row>38</xdr:row>
      <xdr:rowOff>15875</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4453618" y="2317750"/>
          <a:ext cx="12446136" cy="6143625"/>
        </a:xfrm>
        <a:prstGeom prst="rect">
          <a:avLst/>
        </a:prstGeom>
      </xdr:spPr>
    </xdr:pic>
    <xdr:clientData/>
  </xdr:twoCellAnchor>
  <xdr:twoCellAnchor editAs="oneCell">
    <xdr:from>
      <xdr:col>2</xdr:col>
      <xdr:colOff>341993</xdr:colOff>
      <xdr:row>42</xdr:row>
      <xdr:rowOff>79375</xdr:rowOff>
    </xdr:from>
    <xdr:to>
      <xdr:col>8</xdr:col>
      <xdr:colOff>1066136</xdr:colOff>
      <xdr:row>49</xdr:row>
      <xdr:rowOff>0</xdr:rowOff>
    </xdr:to>
    <xdr:pic>
      <xdr:nvPicPr>
        <xdr:cNvPr id="19" name="Imagem 18">
          <a:extLst>
            <a:ext uri="{FF2B5EF4-FFF2-40B4-BE49-F238E27FC236}">
              <a16:creationId xmlns="" xmlns:a16="http://schemas.microsoft.com/office/drawing/2014/main" id="{00000000-0008-0000-0100-000013000000}"/>
            </a:ext>
          </a:extLst>
        </xdr:cNvPr>
        <xdr:cNvPicPr>
          <a:picLocks noChangeAspect="1"/>
        </xdr:cNvPicPr>
      </xdr:nvPicPr>
      <xdr:blipFill>
        <a:blip xmlns:r="http://schemas.openxmlformats.org/officeDocument/2006/relationships" r:embed="rId3"/>
        <a:stretch>
          <a:fillRect/>
        </a:stretch>
      </xdr:blipFill>
      <xdr:spPr>
        <a:xfrm>
          <a:off x="881743" y="9413875"/>
          <a:ext cx="2930768" cy="1476375"/>
        </a:xfrm>
        <a:prstGeom prst="rect">
          <a:avLst/>
        </a:prstGeom>
      </xdr:spPr>
    </xdr:pic>
    <xdr:clientData/>
  </xdr:twoCellAnchor>
  <xdr:twoCellAnchor editAs="oneCell">
    <xdr:from>
      <xdr:col>10</xdr:col>
      <xdr:colOff>103868</xdr:colOff>
      <xdr:row>10</xdr:row>
      <xdr:rowOff>95250</xdr:rowOff>
    </xdr:from>
    <xdr:to>
      <xdr:col>10</xdr:col>
      <xdr:colOff>856249</xdr:colOff>
      <xdr:row>12</xdr:row>
      <xdr:rowOff>88845</xdr:rowOff>
    </xdr:to>
    <xdr:pic>
      <xdr:nvPicPr>
        <xdr:cNvPr id="14" name="Imagem 13"/>
        <xdr:cNvPicPr>
          <a:picLocks noChangeAspect="1"/>
        </xdr:cNvPicPr>
      </xdr:nvPicPr>
      <xdr:blipFill>
        <a:blip xmlns:r="http://schemas.openxmlformats.org/officeDocument/2006/relationships" r:embed="rId4"/>
        <a:stretch>
          <a:fillRect/>
        </a:stretch>
      </xdr:blipFill>
      <xdr:spPr>
        <a:xfrm>
          <a:off x="4453618" y="2317750"/>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X59" sqref="X59:Y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1925</v>
      </c>
      <c r="E3" s="92"/>
      <c r="F3" s="621">
        <v>45013</v>
      </c>
      <c r="G3" s="622"/>
      <c r="H3" s="623"/>
      <c r="I3" s="93" t="s">
        <v>1923</v>
      </c>
      <c r="J3" s="94"/>
      <c r="K3" s="95"/>
      <c r="L3" s="94"/>
      <c r="M3" s="560" t="s">
        <v>1924</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1922</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1130</v>
      </c>
      <c r="P55" s="609"/>
      <c r="Q55" s="609"/>
      <c r="R55" s="609"/>
      <c r="S55" s="610"/>
      <c r="T55" s="614" t="s">
        <v>13</v>
      </c>
      <c r="U55" s="524" t="s">
        <v>2</v>
      </c>
      <c r="V55" s="524"/>
      <c r="W55" s="44"/>
      <c r="X55" s="552" t="s">
        <v>1925</v>
      </c>
      <c r="Y55" s="553"/>
      <c r="Z55" s="607" t="s">
        <v>3</v>
      </c>
      <c r="AA55" s="607"/>
      <c r="AB55" s="525">
        <v>3</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1933</v>
      </c>
      <c r="P57" s="552"/>
      <c r="Q57" s="552"/>
      <c r="R57" s="552"/>
      <c r="S57" s="553"/>
      <c r="T57" s="616"/>
      <c r="U57" s="524" t="s">
        <v>7</v>
      </c>
      <c r="V57" s="524"/>
      <c r="W57" s="47"/>
      <c r="X57" s="552" t="s">
        <v>1925</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1920</v>
      </c>
      <c r="V58" s="524"/>
      <c r="W58" s="44"/>
      <c r="X58" s="555"/>
      <c r="Y58" s="556"/>
      <c r="Z58" s="506" t="s">
        <v>23</v>
      </c>
      <c r="AA58" s="605"/>
      <c r="AB58" s="606"/>
      <c r="AD58" s="33"/>
      <c r="AE58" s="33"/>
      <c r="AF58" s="564" t="s">
        <v>1929</v>
      </c>
      <c r="AG58" s="564"/>
      <c r="AH58" s="564"/>
      <c r="AI58" s="565"/>
      <c r="AJ58" s="510" t="s">
        <v>20</v>
      </c>
      <c r="AK58" s="510" t="s">
        <v>21</v>
      </c>
      <c r="AL58" s="40"/>
      <c r="AM58" s="76"/>
    </row>
    <row r="59" spans="1:39" ht="17.25" customHeight="1">
      <c r="A59" s="619"/>
      <c r="B59" s="548" t="s">
        <v>1703</v>
      </c>
      <c r="C59" s="549"/>
      <c r="D59" s="549"/>
      <c r="E59" s="549"/>
      <c r="F59" s="550"/>
      <c r="G59" s="40"/>
      <c r="H59" s="539" t="s">
        <v>48</v>
      </c>
      <c r="I59" s="540"/>
      <c r="J59" s="540"/>
      <c r="K59" s="540"/>
      <c r="L59" s="541"/>
      <c r="M59" s="524" t="s">
        <v>6</v>
      </c>
      <c r="N59" s="524"/>
      <c r="O59" s="551" t="s">
        <v>1921</v>
      </c>
      <c r="P59" s="552"/>
      <c r="Q59" s="552"/>
      <c r="R59" s="552"/>
      <c r="S59" s="553"/>
      <c r="T59" s="615"/>
      <c r="U59" s="524" t="s">
        <v>10</v>
      </c>
      <c r="V59" s="524"/>
      <c r="W59" s="45"/>
      <c r="X59" s="552" t="s">
        <v>1925</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1917</v>
      </c>
      <c r="V60" s="524"/>
      <c r="W60" s="47"/>
      <c r="X60" s="555"/>
      <c r="Y60" s="556"/>
      <c r="Z60" s="507" t="s">
        <v>1919</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1703</v>
      </c>
      <c r="C62"/>
      <c r="AH62"/>
    </row>
    <row r="63" spans="1:39" ht="17.25" hidden="1" customHeight="1">
      <c r="B63" s="29" t="s">
        <v>1704</v>
      </c>
      <c r="C63"/>
      <c r="AH63"/>
    </row>
    <row r="64" spans="1:39" ht="17.25" hidden="1" customHeight="1">
      <c r="B64" s="29" t="s">
        <v>1706</v>
      </c>
      <c r="C64"/>
      <c r="AH64"/>
    </row>
    <row r="65" spans="1:34" ht="17.25" hidden="1" customHeight="1">
      <c r="B65" s="29" t="s">
        <v>1705</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20" sqref="I2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1130</v>
      </c>
      <c r="P55" s="652"/>
      <c r="Q55" s="652"/>
      <c r="R55" s="652"/>
      <c r="S55" s="652"/>
      <c r="T55" s="614" t="s">
        <v>13</v>
      </c>
      <c r="U55" s="651" t="s">
        <v>2</v>
      </c>
      <c r="V55" s="651"/>
      <c r="W55" s="174"/>
      <c r="X55" s="653" t="str">
        <f>'Blatt 0'!X55:Y56</f>
        <v>GME</v>
      </c>
      <c r="Y55" s="653"/>
      <c r="Z55" s="654" t="s">
        <v>3</v>
      </c>
      <c r="AA55" s="654"/>
      <c r="AB55" s="653">
        <f>'Blatt 0'!AB55:AB56</f>
        <v>3</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1918</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ST1130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1920</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1917</v>
      </c>
      <c r="V60" s="651"/>
      <c r="W60" s="176"/>
      <c r="X60" s="653"/>
      <c r="Y60" s="653"/>
      <c r="Z60" s="507" t="s">
        <v>1919</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9" zoomScale="85" zoomScaleNormal="85" zoomScaleSheetLayoutView="40" zoomScalePageLayoutView="10" workbookViewId="0">
      <selection activeCell="T22" sqref="T22:T25"/>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Karosseriebau</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1911</v>
      </c>
      <c r="AL3" s="1029"/>
      <c r="AM3" s="1029"/>
      <c r="AN3" s="1029"/>
      <c r="AO3" s="679" t="str">
        <f>IF(AND($E$6="DE",BF44&gt;0),"Achtung: Sonderfräsmesser erforderlich, Rücksprache Prozessmethodik!",IF(AND($E$6="ENG",BF44&gt;0),"Warning: Special Tip-Dresser required, consult Process Methodology","  "))</f>
        <v>Achtung: Sonderfräsmesser erforderlich, Rücksprache Prozessmethodik!</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Punktschweißen</v>
      </c>
      <c r="D4" s="989"/>
      <c r="E4" s="989"/>
      <c r="F4" s="989"/>
      <c r="G4" s="989"/>
      <c r="H4" s="989"/>
      <c r="I4" s="989"/>
      <c r="J4" s="989"/>
      <c r="K4" s="989"/>
      <c r="L4" s="990"/>
      <c r="M4" s="707" t="str">
        <f>IF($E$6="DE","Zeichnungsstand:","Dwg release:")</f>
        <v>Zeichnungsstand:</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Elektrodenkappe</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1175</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1927</v>
      </c>
      <c r="N6" s="699"/>
      <c r="O6" s="699"/>
      <c r="P6" s="699"/>
      <c r="Q6" s="699"/>
      <c r="R6" s="699"/>
      <c r="S6" s="700"/>
      <c r="T6" s="724" t="s">
        <v>1928</v>
      </c>
      <c r="U6" s="724"/>
      <c r="V6" s="724"/>
      <c r="W6" s="724"/>
      <c r="X6" s="724"/>
      <c r="Y6" s="724"/>
      <c r="Z6" s="724"/>
      <c r="AA6" s="724"/>
      <c r="AB6" s="724"/>
      <c r="AC6" s="724"/>
      <c r="AD6" s="724"/>
      <c r="AE6" s="724"/>
      <c r="AF6" s="724"/>
      <c r="AG6" s="725"/>
      <c r="AH6" s="1058" t="str">
        <f>IF($E$6="DE","Sonderelektrode (manuelle Auswahl)","Special Electrode Cap (manual selection)")</f>
        <v>Sonderelektrode (manuelle Auswahl)</v>
      </c>
      <c r="AI6" s="1059"/>
      <c r="AJ6" s="1060"/>
      <c r="AK6" s="1033" t="str">
        <f>IF($E$6="DE","Sonderfräsmesser (manuelle Auswahl)","Special Tip-Dresser (manual selection)")</f>
        <v>Sonderfräsmesser (manuelle Auswahl)</v>
      </c>
      <c r="AL6" s="1034"/>
      <c r="AM6" s="1034"/>
      <c r="AN6" s="1034"/>
      <c r="AO6" s="687" t="str">
        <f>IF(OR(COUNTBLANK(AH8:AN8)&lt;7,BF44&gt;0),IF(E6="DE","Sonderfräsmesser / -elektroden genehmigt durch:", "Special Tip-Dresser / Electrodes approved by:"),"")</f>
        <v>Sonderfräsmesser / -elektroden genehmigt durch:</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1752</v>
      </c>
      <c r="BJ7" s="279" t="s">
        <v>1724</v>
      </c>
    </row>
    <row r="8" spans="1:79" ht="45.75" customHeight="1" thickBot="1">
      <c r="A8" s="797"/>
      <c r="B8" s="281"/>
      <c r="C8" s="967"/>
      <c r="D8" s="968"/>
      <c r="E8" s="971"/>
      <c r="F8" s="295" t="str">
        <f>IF(E6="DE","Doppelzange (J/N)","Twin-Spot-Gun (J=Yes/N=No)")</f>
        <v>Doppelzange (J/N)</v>
      </c>
      <c r="G8" s="439" t="s">
        <v>1926</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Name:                         (Abteilung)</v>
      </c>
      <c r="AP8" s="674"/>
      <c r="AQ8" s="675"/>
      <c r="AR8" s="676"/>
      <c r="AS8" s="676"/>
      <c r="AT8" s="676"/>
      <c r="AU8" s="676"/>
      <c r="AV8" s="674" t="str">
        <f>IF(OR(COUNTBLANK(AH8:AN8)&lt;7,BF44&gt;0),IF(E6="DE","Datum","Date"),"")</f>
        <v>Datum</v>
      </c>
      <c r="AW8" s="674"/>
      <c r="AX8" s="675"/>
      <c r="AY8" s="677"/>
      <c r="AZ8" s="677"/>
      <c r="BA8" s="676"/>
      <c r="BB8" s="678"/>
      <c r="BC8" s="282"/>
      <c r="BD8" s="282"/>
      <c r="BE8" s="282"/>
      <c r="BF8" s="282"/>
      <c r="BH8" s="460" t="s">
        <v>1723</v>
      </c>
      <c r="BI8" s="459" t="b">
        <f t="array" ref="BI8">OR(EXACT("M",G19:G43),EXACT("m",G19:G43))</f>
        <v>0</v>
      </c>
      <c r="BJ8" s="459" t="b">
        <f>(COUNTIF(BT19:BT43,"J"))&gt;0</f>
        <v>0</v>
      </c>
      <c r="BL8" s="279" t="s">
        <v>1894</v>
      </c>
    </row>
    <row r="9" spans="1:79" ht="28.5" customHeight="1">
      <c r="A9" s="797"/>
      <c r="B9" s="281"/>
      <c r="C9" s="991" t="str">
        <f>IF($E$6="DE","Punkt- Nummer (Index)","Welding-Spot Number (Index)")</f>
        <v>Punkt- Nummer (Index)</v>
      </c>
      <c r="D9" s="994" t="str">
        <f>IF($E$6="DE","Punkt- Name                                                   (FE - Bezeichnung)","Welding-Spot Number                                              (FE - designition)")</f>
        <v>Punkt- Name                                                   (FE - Bezeichnung)</v>
      </c>
      <c r="E9" s="997" t="str">
        <f>IF($E$6="DE","Schweißkoffer","Welding case-No.")</f>
        <v>Schweißkoffer</v>
      </c>
      <c r="F9" s="997" t="str">
        <f>IF($E$6="DE","Schweißen durch Rob. IR .. /                                Werker WA ..","Welding with Rob. IR ... /                    Worker WR No …")</f>
        <v>Schweißen durch Rob. IR .. /                                Werker WA ..</v>
      </c>
      <c r="G9" s="997" t="str">
        <f>IF($E$6="DE","Schweißzangen-Typ","Weldgun - Type")</f>
        <v>Schweißzangen-Typ</v>
      </c>
      <c r="H9" s="1000" t="str">
        <f>IF($E$6="DE","Schweißzangen-Nr.","Weldgun drawing No.")</f>
        <v>Schweißzangen-Nr.</v>
      </c>
      <c r="I9" s="1003" t="str">
        <f>IF($E$6="DE","Trafo","Weld-Transformer")</f>
        <v>Trafo</v>
      </c>
      <c r="J9" s="1006" t="str">
        <f>IF($E$6="DE","Netzlinien","Car Netline")</f>
        <v>Netzlinien</v>
      </c>
      <c r="K9" s="1007"/>
      <c r="L9" s="1008"/>
      <c r="M9" s="1006" t="str">
        <f>IF($E$6="DE","Blechpaarung","Sheet metal stack")</f>
        <v>Blechpaarung</v>
      </c>
      <c r="N9" s="1007"/>
      <c r="O9" s="1009"/>
      <c r="P9" s="985" t="str">
        <f>IF($E$6="DE","Blechdicke / Werkstoff","Sheet Thickness / Material")</f>
        <v>Blechdicke / Werkstoff</v>
      </c>
      <c r="Q9" s="986"/>
      <c r="R9" s="986"/>
      <c r="S9" s="986"/>
      <c r="T9" s="986"/>
      <c r="U9" s="986"/>
      <c r="V9" s="986"/>
      <c r="W9" s="986"/>
      <c r="X9" s="987"/>
      <c r="Y9" s="450"/>
      <c r="Z9" s="733" t="str">
        <f>IF($E$6="DE","Zwischenrechnung","theoretical Values")</f>
        <v>Zwischenrechnung</v>
      </c>
      <c r="AA9" s="734"/>
      <c r="AB9" s="735"/>
      <c r="AC9" s="861" t="str">
        <f>IF($E$6="DE","Schweißparameter","Welding Parameters")</f>
        <v>Schweißparameter</v>
      </c>
      <c r="AD9" s="861"/>
      <c r="AE9" s="862"/>
      <c r="AF9" s="696" t="str">
        <f>IF($E$6="DE","Anforderung","Requirement")</f>
        <v>Anforderung</v>
      </c>
      <c r="AG9" s="697"/>
      <c r="AH9" s="1030" t="str">
        <f>IF($E$6="DE","benötigte Elektrodenkappen für Schweißpunkt","required Electrode Caps for Spot")</f>
        <v>benötigte Elektrodenkappen für Schweißpunkt</v>
      </c>
      <c r="AI9" s="1031"/>
      <c r="AJ9" s="1031"/>
      <c r="AK9" s="1056"/>
      <c r="AL9" s="1057"/>
      <c r="AM9" s="1064" t="str">
        <f>IF($E$6="DE","Bemerkung","Comments")</f>
        <v>Bemerkung</v>
      </c>
      <c r="AN9" s="1065"/>
      <c r="AO9" s="1030" t="str">
        <f>IF($E$6="DE","Schweißpunkte gültig für folgende Typen:","Welding Spots valid for the following Types")</f>
        <v>Schweißpunkte gültig für folgende Typen:</v>
      </c>
      <c r="AP9" s="1031"/>
      <c r="AQ9" s="1031"/>
      <c r="AR9" s="1031"/>
      <c r="AS9" s="1031"/>
      <c r="AT9" s="1031"/>
      <c r="AU9" s="1031"/>
      <c r="AV9" s="1031"/>
      <c r="AW9" s="1031"/>
      <c r="AX9" s="1031"/>
      <c r="AY9" s="1031"/>
      <c r="AZ9" s="1031"/>
      <c r="BA9" s="1031"/>
      <c r="BB9" s="1032"/>
      <c r="BC9" s="282"/>
      <c r="BD9" s="282"/>
      <c r="BE9" s="282"/>
      <c r="BF9" s="282"/>
      <c r="BH9" s="306" t="s">
        <v>1725</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Zeichnungsnummer</v>
      </c>
      <c r="N10" s="1020"/>
      <c r="O10" s="1020"/>
      <c r="P10" s="961" t="s">
        <v>57</v>
      </c>
      <c r="Q10" s="746" t="str">
        <f>IF($E$6="DE","Werkstoff 1","Material 1")</f>
        <v>Werkstoff 1</v>
      </c>
      <c r="R10" s="738" t="str">
        <f>IF($E$6="DE","Streckgrenze Re 1","Yield strength Re 1")</f>
        <v>Streckgrenze Re 1</v>
      </c>
      <c r="S10" s="736" t="s">
        <v>58</v>
      </c>
      <c r="T10" s="746" t="str">
        <f>IF($E$6="DE","Werkstoff 2","Material 2")</f>
        <v>Werkstoff 2</v>
      </c>
      <c r="U10" s="738" t="str">
        <f>IF($E$6="DE","Streckgrenze Re 2","Yield strength Re 2")</f>
        <v>Streckgrenze Re 2</v>
      </c>
      <c r="V10" s="736" t="s">
        <v>59</v>
      </c>
      <c r="W10" s="746" t="str">
        <f>IF($E$6="DE","Werkstoff 3","Material 3")</f>
        <v>Werkstoff 3</v>
      </c>
      <c r="X10" s="738" t="str">
        <f>IF($E$6="DE","Streckgrenze Re 3","Yield strength Re 3")</f>
        <v>Streckgrenze Re 3</v>
      </c>
      <c r="Y10" s="765" t="str">
        <f>IF($E$6="DE","Klebstoff (J/N)","Adhesive (J=Yes /N=No)")</f>
        <v>Klebstoff (J/N)</v>
      </c>
      <c r="Z10" s="740" t="str">
        <f>IF($E$6="DE","Vergleichsblechdicke tv","Ref. Thickness tv")</f>
        <v>Vergleichsblechdicke tv</v>
      </c>
      <c r="AA10" s="762" t="str">
        <f>IF($E$6="DE","Zuschlag Streckgrenze ","Yield strength surcharge")</f>
        <v xml:space="preserve">Zuschlag Streckgrenze </v>
      </c>
      <c r="AB10" s="721" t="str">
        <f>IF($E$6="DE","Schweißkraft inkl. Klebstoff (Zangenauslegung)","Welding Force incl. Adhesive (Gun Calculation)")</f>
        <v>Schweißkraft inkl. Klebstoff (Zangenauslegung)</v>
      </c>
      <c r="AC10" s="730" t="str">
        <f>IF($E$6="DE","Schweißstrom","Welding Current")</f>
        <v>Schweißstrom</v>
      </c>
      <c r="AD10" s="743" t="str">
        <f>IF($E$6="DE","Schweißzeit","Welding Time")</f>
        <v>Schweißzeit</v>
      </c>
      <c r="AE10" s="721" t="str">
        <f>IF($E$6="DE","Schweißkraft incl. Klebstoff u.  bei VW50066/TL4225- Material außen","Welding Force incl. adhesive and VW50066/TL4225-Material outside")</f>
        <v>Schweißkraft incl. Klebstoff u.  bei VW50066/TL4225- Material außen</v>
      </c>
      <c r="AF10" s="1048" t="str">
        <f>IF($E$6="DE","Linsendurchmesser dn min (Blech 1 - Blech 2)","Nuggetdiameter dn min (Sheet 1 - Sheet 2)")</f>
        <v>Linsendurchmesser dn min (Blech 1 - Blech 2)</v>
      </c>
      <c r="AG10" s="721" t="str">
        <f>IF($E$6="DE","Linsendurchmesser dn min (Blech 2 - Blech 3)","Nuggetdiameter dn min (Sheet 2 - Sheet 3)")</f>
        <v>Linsendurchmesser dn min (Blech 2 - Blech 3)</v>
      </c>
      <c r="AH10" s="1048" t="str">
        <f>IF($E$6="DE","Elektroden-kappen","Electrode Cap")</f>
        <v>Elektroden-kappen</v>
      </c>
      <c r="AI10" s="743" t="str">
        <f>IF($E$6="DE"," Arbeitsflächendurchm. für Elektrode an Blech 1 (AF1)","Electrode Tip Diameter                       on Sheet 1 (AF1)")</f>
        <v xml:space="preserve"> Arbeitsflächendurchm. für Elektrode an Blech 1 (AF1)</v>
      </c>
      <c r="AJ10" s="743" t="str">
        <f>IF($E$6="DE","Arbeitsflächenradius für Elektrode an Blech 1 (R1)","Electrode Tip Radius                    on Sheet 1 (R1)")</f>
        <v>Arbeitsflächenradius für Elektrode an Blech 1 (R1)</v>
      </c>
      <c r="AK10" s="718" t="str">
        <f>IF($E$6="DE","Arbeitsflächendurchm. für Elektrode an Blech 2/3 (AF2/3)","Electrode Tip Diameter                      on Sheet 2/3 (AF2/3)")</f>
        <v>Arbeitsflächendurchm. für Elektrode an Blech 2/3 (AF2/3)</v>
      </c>
      <c r="AL10" s="793" t="str">
        <f>IF($E$6="DE","Arbeitsflächenradius für Elektrode an Blech 2/3 (R2/3)","Electrode Tip Radius                   on Sheet 2 (R2/3)")</f>
        <v>Arbeitsflächenradius für Elektrode an Blech 2/3 (R2/3)</v>
      </c>
      <c r="AM10" s="1066"/>
      <c r="AN10" s="1067"/>
      <c r="AO10" s="802" t="s">
        <v>1676</v>
      </c>
      <c r="AP10" s="799" t="s">
        <v>1677</v>
      </c>
      <c r="AQ10" s="799" t="s">
        <v>1678</v>
      </c>
      <c r="AR10" s="799" t="s">
        <v>1679</v>
      </c>
      <c r="AS10" s="799" t="s">
        <v>1680</v>
      </c>
      <c r="AT10" s="799" t="s">
        <v>1681</v>
      </c>
      <c r="AU10" s="799" t="s">
        <v>1682</v>
      </c>
      <c r="AV10" s="799" t="s">
        <v>1683</v>
      </c>
      <c r="AW10" s="799" t="s">
        <v>1684</v>
      </c>
      <c r="AX10" s="799" t="s">
        <v>1685</v>
      </c>
      <c r="AY10" s="799" t="s">
        <v>1912</v>
      </c>
      <c r="AZ10" s="799" t="s">
        <v>1913</v>
      </c>
      <c r="BA10" s="799" t="s">
        <v>1914</v>
      </c>
      <c r="BB10" s="799" t="s">
        <v>1915</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1906</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1726</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1672</v>
      </c>
      <c r="BT17" s="298" t="s">
        <v>1719</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1718</v>
      </c>
      <c r="AB18" s="449" t="s">
        <v>1715</v>
      </c>
      <c r="AC18" s="452" t="s">
        <v>1270</v>
      </c>
      <c r="AD18" s="303" t="s">
        <v>1271</v>
      </c>
      <c r="AE18" s="304" t="s">
        <v>1716</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1751</v>
      </c>
      <c r="BN18" s="751"/>
      <c r="BO18" s="751"/>
      <c r="BP18" s="751"/>
      <c r="BQ18" s="751"/>
      <c r="BR18" s="297"/>
      <c r="BS18" s="298" t="s">
        <v>1673</v>
      </c>
      <c r="BT18" s="440" t="s">
        <v>1720</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t="s">
        <v>1934</v>
      </c>
      <c r="D19" s="308" t="s">
        <v>1935</v>
      </c>
      <c r="E19" s="309" t="s">
        <v>1188</v>
      </c>
      <c r="F19" s="310" t="s">
        <v>1936</v>
      </c>
      <c r="G19" s="336" t="s">
        <v>1671</v>
      </c>
      <c r="H19" s="311" t="s">
        <v>1937</v>
      </c>
      <c r="I19" s="478" t="s">
        <v>1188</v>
      </c>
      <c r="J19" s="312">
        <v>174.02</v>
      </c>
      <c r="K19" s="313">
        <v>358.43</v>
      </c>
      <c r="L19" s="314">
        <v>100.93</v>
      </c>
      <c r="M19" s="315" t="s">
        <v>1931</v>
      </c>
      <c r="N19" s="316" t="s">
        <v>1930</v>
      </c>
      <c r="O19" s="317" t="s">
        <v>1188</v>
      </c>
      <c r="P19" s="502">
        <v>2.1</v>
      </c>
      <c r="Q19" s="320" t="s">
        <v>1129</v>
      </c>
      <c r="R19" s="318">
        <f>IF(AND(ISBLANK(P19),ISTEXT(Q19)),"t1?",IF(AND(ISBLANK(Q19),ISBLANK(P19)),"",VLOOKUP(BH19,Materialliste!$A$2:$B$1615,2,FALSE)))</f>
        <v>1250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1926</v>
      </c>
      <c r="Z19" s="453">
        <f t="shared" ref="Z19:Z43" si="0">IF($E$6="DE",IF(P19*S19&gt;0,0.8*BN19+0.2*BM19,"BLECH?"),IF(P19*S19&gt;0,0.8*BN19+0.2*BM19,"Sheet?"))</f>
        <v>2.02</v>
      </c>
      <c r="AA19" s="446">
        <f>IF(AND(ISNUMBER(R19),ISNUMBER(U19)),IF(ISTEXT(X19),(R19+U19)/(220*3*10)+0.9,(R19+U19+X19)/(220*3*10)+0.9),"?Re")</f>
        <v>1.2787878787878788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4.9532484848484861</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3.46727393939394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Ja</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t="s">
        <v>1938</v>
      </c>
      <c r="D20" s="333" t="s">
        <v>1939</v>
      </c>
      <c r="E20" s="334" t="s">
        <v>1188</v>
      </c>
      <c r="F20" s="335" t="s">
        <v>1936</v>
      </c>
      <c r="G20" s="336" t="s">
        <v>1671</v>
      </c>
      <c r="H20" s="337" t="s">
        <v>1937</v>
      </c>
      <c r="I20" s="479" t="s">
        <v>1188</v>
      </c>
      <c r="J20" s="338">
        <v>172.08</v>
      </c>
      <c r="K20" s="339">
        <v>355.53</v>
      </c>
      <c r="L20" s="340">
        <v>120.38</v>
      </c>
      <c r="M20" s="341" t="s">
        <v>1931</v>
      </c>
      <c r="N20" s="342" t="s">
        <v>1930</v>
      </c>
      <c r="O20" s="343" t="s">
        <v>1188</v>
      </c>
      <c r="P20" s="319">
        <v>2.1</v>
      </c>
      <c r="Q20" s="320" t="s">
        <v>1129</v>
      </c>
      <c r="R20" s="344">
        <f>IF(AND(ISBLANK(P20),ISTEXT(Q20)),"t1?",IF(AND(ISBLANK(Q20),ISBLANK(P20)),"",VLOOKUP(BH20,Materialliste!$A$2:$B$1615,2,FALSE)))</f>
        <v>1250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1926</v>
      </c>
      <c r="Z20" s="346">
        <f t="shared" si="0"/>
        <v>2.02</v>
      </c>
      <c r="AA20" s="347">
        <f t="shared" ref="AA20:AA43" si="11">IF(AND(ISNUMBER(R20),ISNUMBER(U20)),IF(ISTEXT(X20),(R20+U20)/(220*3*10)+0.9,(R20+U20+X20)/(220*3*10)+0.9),"?Re")</f>
        <v>1.2787878787878788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4.9532484848484861</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852.17391304347825</v>
      </c>
      <c r="AE20" s="349">
        <f t="shared" ref="AE20:AE43" si="14">IF(AND(BT20="J",OR(G20="C",G20="X")),AB20*1,IF(OR(G20="C",G20="X"),AB20*BV20,IF(ISBLANK(G20),AB20,AB20*1)))</f>
        <v>3.46727393939394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Ja</v>
      </c>
      <c r="BH20" s="473" t="str">
        <f t="shared" si="3"/>
        <v>TL 4225-AS30/30</v>
      </c>
      <c r="BI20" s="473" t="str">
        <f t="shared" si="4"/>
        <v>TL 4225-AS30/30</v>
      </c>
      <c r="BJ20" s="473">
        <f t="shared" si="5"/>
        <v>0</v>
      </c>
      <c r="BM20" s="474">
        <f t="shared" si="6"/>
        <v>2.1</v>
      </c>
      <c r="BN20" s="475">
        <f t="shared" ref="BN20:BN43" si="22">LARGE(BO20:BQ20,2)</f>
        <v>2</v>
      </c>
      <c r="BO20" s="474">
        <f t="shared" si="7"/>
        <v>2.1</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t="s">
        <v>1940</v>
      </c>
      <c r="D21" s="333" t="s">
        <v>1941</v>
      </c>
      <c r="E21" s="334" t="s">
        <v>1188</v>
      </c>
      <c r="F21" s="335" t="s">
        <v>1936</v>
      </c>
      <c r="G21" s="336" t="s">
        <v>1671</v>
      </c>
      <c r="H21" s="337" t="s">
        <v>1937</v>
      </c>
      <c r="I21" s="479" t="s">
        <v>1188</v>
      </c>
      <c r="J21" s="338">
        <v>49.49</v>
      </c>
      <c r="K21" s="339">
        <v>391.68</v>
      </c>
      <c r="L21" s="340">
        <v>114.71</v>
      </c>
      <c r="M21" s="341" t="s">
        <v>1931</v>
      </c>
      <c r="N21" s="342" t="s">
        <v>1932</v>
      </c>
      <c r="O21" s="343" t="s">
        <v>1188</v>
      </c>
      <c r="P21" s="319">
        <v>2.1</v>
      </c>
      <c r="Q21" s="320" t="s">
        <v>1129</v>
      </c>
      <c r="R21" s="355">
        <f>IF(AND(ISBLANK(P21),ISTEXT(Q21)),"t1?",IF(AND(ISBLANK(Q21),ISBLANK(P21)),"",VLOOKUP(BH21,Materialliste!$A$2:$B$1615,2,FALSE)))</f>
        <v>1250</v>
      </c>
      <c r="S21" s="319">
        <v>3</v>
      </c>
      <c r="T21" s="320" t="s">
        <v>600</v>
      </c>
      <c r="U21" s="355">
        <f>IF(AND(ISBLANK(S21),ISTEXT(T21)),"t2?",IF(AND(ISBLANK(T21),ISBLANK(S21)),"",VLOOKUP(BI21,Materialliste!$A$2:$B$1615,2,FALSE)))</f>
        <v>350</v>
      </c>
      <c r="V21" s="319"/>
      <c r="W21" s="320"/>
      <c r="X21" s="355" t="str">
        <f>IF(AND(ISBLANK(V21),ISTEXT(W21)),"t3?",IF(AND(ISBLANK(W21),ISBLANK(V21)),"",VLOOKUP(BJ21,Materialliste!$A$2:$B$1615,2,FALSE)))</f>
        <v/>
      </c>
      <c r="Y21" s="443" t="s">
        <v>1926</v>
      </c>
      <c r="Z21" s="346">
        <f t="shared" si="0"/>
        <v>2.2800000000000002</v>
      </c>
      <c r="AA21" s="347">
        <f t="shared" si="11"/>
        <v>1.1424242424242426</v>
      </c>
      <c r="AB21" s="454">
        <f t="shared" si="12"/>
        <v>4.8858424242424254</v>
      </c>
      <c r="AC21" s="348">
        <f t="shared" si="13"/>
        <v>7.2420000000000009</v>
      </c>
      <c r="AD21" s="323">
        <f t="shared" si="1"/>
        <v>900</v>
      </c>
      <c r="AE21" s="349">
        <f t="shared" si="14"/>
        <v>3.4200896969696974</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CR270LA-EG12/12</v>
      </c>
      <c r="BJ21" s="473">
        <f t="shared" si="5"/>
        <v>0</v>
      </c>
      <c r="BM21" s="474">
        <f t="shared" si="6"/>
        <v>3</v>
      </c>
      <c r="BN21" s="475">
        <f t="shared" si="22"/>
        <v>2.1</v>
      </c>
      <c r="BO21" s="474">
        <f t="shared" si="7"/>
        <v>2.1</v>
      </c>
      <c r="BP21" s="474">
        <f t="shared" si="8"/>
        <v>3</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t="s">
        <v>1942</v>
      </c>
      <c r="D22" s="333" t="s">
        <v>1943</v>
      </c>
      <c r="E22" s="334" t="s">
        <v>1188</v>
      </c>
      <c r="F22" s="335" t="s">
        <v>1936</v>
      </c>
      <c r="G22" s="336" t="s">
        <v>1671</v>
      </c>
      <c r="H22" s="337" t="s">
        <v>1937</v>
      </c>
      <c r="I22" s="479" t="s">
        <v>1188</v>
      </c>
      <c r="J22" s="338">
        <v>29.12</v>
      </c>
      <c r="K22" s="339">
        <v>396.06</v>
      </c>
      <c r="L22" s="340">
        <v>132.93</v>
      </c>
      <c r="M22" s="341" t="s">
        <v>1931</v>
      </c>
      <c r="N22" s="342" t="s">
        <v>1932</v>
      </c>
      <c r="O22" s="343" t="s">
        <v>1188</v>
      </c>
      <c r="P22" s="319">
        <v>2.1</v>
      </c>
      <c r="Q22" s="320" t="s">
        <v>1129</v>
      </c>
      <c r="R22" s="355">
        <f>IF(AND(ISBLANK(P22),ISTEXT(Q22)),"t1?",IF(AND(ISBLANK(Q22),ISBLANK(P22)),"",VLOOKUP(BH22,Materialliste!$A$2:$B$1615,2,FALSE)))</f>
        <v>1250</v>
      </c>
      <c r="S22" s="319">
        <v>3</v>
      </c>
      <c r="T22" s="320" t="s">
        <v>600</v>
      </c>
      <c r="U22" s="355">
        <f>IF(AND(ISBLANK(S22),ISTEXT(T22)),"t2?",IF(AND(ISBLANK(T22),ISBLANK(S22)),"",VLOOKUP(BI22,Materialliste!$A$2:$B$1615,2,FALSE)))</f>
        <v>350</v>
      </c>
      <c r="V22" s="319"/>
      <c r="W22" s="356"/>
      <c r="X22" s="355" t="str">
        <f>IF(AND(ISBLANK(V22),ISTEXT(W22)),"t3?",IF(AND(ISBLANK(W22),ISBLANK(V22)),"",VLOOKUP(BJ22,Materialliste!$A$2:$B$1615,2,FALSE)))</f>
        <v/>
      </c>
      <c r="Y22" s="443" t="s">
        <v>1926</v>
      </c>
      <c r="Z22" s="346">
        <f t="shared" si="0"/>
        <v>2.2800000000000002</v>
      </c>
      <c r="AA22" s="347">
        <f t="shared" si="11"/>
        <v>1.1424242424242426</v>
      </c>
      <c r="AB22" s="454">
        <f t="shared" si="12"/>
        <v>4.8858424242424254</v>
      </c>
      <c r="AC22" s="348">
        <f t="shared" si="13"/>
        <v>7.2420000000000009</v>
      </c>
      <c r="AD22" s="323">
        <f t="shared" si="1"/>
        <v>900</v>
      </c>
      <c r="AE22" s="349">
        <f t="shared" si="14"/>
        <v>3.4200896969696974</v>
      </c>
      <c r="AF22" s="480">
        <f t="shared" si="15"/>
        <v>5.0719818611663037</v>
      </c>
      <c r="AG22" s="482" t="str">
        <f t="shared" si="16"/>
        <v/>
      </c>
      <c r="AH22" s="461" t="str">
        <f t="shared" si="2"/>
        <v>39D 1978-2</v>
      </c>
      <c r="AI22" s="350">
        <f t="shared" si="17"/>
        <v>8</v>
      </c>
      <c r="AJ22" s="350">
        <f t="shared" si="18"/>
        <v>50</v>
      </c>
      <c r="AK22" s="350">
        <f t="shared" si="19"/>
        <v>8</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CR270LA-EG12/12</v>
      </c>
      <c r="BJ22" s="473">
        <f t="shared" si="5"/>
        <v>0</v>
      </c>
      <c r="BM22" s="474">
        <f t="shared" si="6"/>
        <v>3</v>
      </c>
      <c r="BN22" s="475">
        <f t="shared" si="22"/>
        <v>2.1</v>
      </c>
      <c r="BO22" s="474">
        <f t="shared" si="7"/>
        <v>2.1</v>
      </c>
      <c r="BP22" s="474">
        <f t="shared" si="8"/>
        <v>3</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t="s">
        <v>1944</v>
      </c>
      <c r="D23" s="333" t="s">
        <v>1945</v>
      </c>
      <c r="E23" s="334" t="s">
        <v>1188</v>
      </c>
      <c r="F23" s="335" t="s">
        <v>1936</v>
      </c>
      <c r="G23" s="336" t="s">
        <v>1671</v>
      </c>
      <c r="H23" s="337" t="s">
        <v>1937</v>
      </c>
      <c r="I23" s="479" t="s">
        <v>1188</v>
      </c>
      <c r="J23" s="338">
        <v>-5.89</v>
      </c>
      <c r="K23" s="339">
        <v>405.03</v>
      </c>
      <c r="L23" s="340">
        <v>152.38999999999999</v>
      </c>
      <c r="M23" s="342" t="s">
        <v>1931</v>
      </c>
      <c r="N23" s="342" t="s">
        <v>1932</v>
      </c>
      <c r="O23" s="342" t="s">
        <v>1188</v>
      </c>
      <c r="P23" s="319">
        <v>2.1</v>
      </c>
      <c r="Q23" s="320" t="s">
        <v>1129</v>
      </c>
      <c r="R23" s="355">
        <f>IF(AND(ISBLANK(P23),ISTEXT(Q23)),"t1?",IF(AND(ISBLANK(Q23),ISBLANK(P23)),"",VLOOKUP(BH23,Materialliste!$A$2:$B$1615,2,FALSE)))</f>
        <v>1250</v>
      </c>
      <c r="S23" s="319">
        <v>3</v>
      </c>
      <c r="T23" s="320" t="s">
        <v>600</v>
      </c>
      <c r="U23" s="355">
        <f>IF(AND(ISBLANK(S23),ISTEXT(T23)),"t2?",IF(AND(ISBLANK(T23),ISBLANK(S23)),"",VLOOKUP(BI23,Materialliste!$A$2:$B$1615,2,FALSE)))</f>
        <v>350</v>
      </c>
      <c r="V23" s="319"/>
      <c r="W23" s="320"/>
      <c r="X23" s="355" t="str">
        <f>IF(AND(ISBLANK(V23),ISTEXT(W23)),"t3?",IF(AND(ISBLANK(W23),ISBLANK(V23)),"",VLOOKUP(BJ23,Materialliste!$A$2:$B$1615,2,FALSE)))</f>
        <v/>
      </c>
      <c r="Y23" s="443" t="s">
        <v>1926</v>
      </c>
      <c r="Z23" s="346">
        <f t="shared" si="0"/>
        <v>2.2800000000000002</v>
      </c>
      <c r="AA23" s="347">
        <f t="shared" si="11"/>
        <v>1.1424242424242426</v>
      </c>
      <c r="AB23" s="454">
        <f t="shared" si="12"/>
        <v>4.8858424242424254</v>
      </c>
      <c r="AC23" s="348">
        <f t="shared" si="13"/>
        <v>7.2420000000000009</v>
      </c>
      <c r="AD23" s="323">
        <f t="shared" si="1"/>
        <v>900</v>
      </c>
      <c r="AE23" s="349">
        <f t="shared" si="14"/>
        <v>3.4200896969696974</v>
      </c>
      <c r="AF23" s="480">
        <f t="shared" si="15"/>
        <v>5.0719818611663037</v>
      </c>
      <c r="AG23" s="482" t="str">
        <f t="shared" si="16"/>
        <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CR270LA-EG12/12</v>
      </c>
      <c r="BJ23" s="473">
        <f t="shared" si="5"/>
        <v>0</v>
      </c>
      <c r="BM23" s="474">
        <f t="shared" si="6"/>
        <v>3</v>
      </c>
      <c r="BN23" s="475">
        <f>LARGE(BO23:BQ23,2)</f>
        <v>2.1</v>
      </c>
      <c r="BO23" s="474">
        <f t="shared" si="7"/>
        <v>2.1</v>
      </c>
      <c r="BP23" s="474">
        <f t="shared" si="8"/>
        <v>3</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t="s">
        <v>1946</v>
      </c>
      <c r="D24" s="333" t="s">
        <v>1947</v>
      </c>
      <c r="E24" s="334" t="s">
        <v>1188</v>
      </c>
      <c r="F24" s="335" t="s">
        <v>1936</v>
      </c>
      <c r="G24" s="336" t="s">
        <v>1671</v>
      </c>
      <c r="H24" s="337" t="s">
        <v>1937</v>
      </c>
      <c r="I24" s="479" t="s">
        <v>1188</v>
      </c>
      <c r="J24" s="338">
        <v>20.23</v>
      </c>
      <c r="K24" s="339">
        <v>398.25</v>
      </c>
      <c r="L24" s="340">
        <v>153.68</v>
      </c>
      <c r="M24" s="342" t="s">
        <v>1931</v>
      </c>
      <c r="N24" s="342" t="s">
        <v>1932</v>
      </c>
      <c r="O24" s="342" t="s">
        <v>1188</v>
      </c>
      <c r="P24" s="319">
        <v>2.1</v>
      </c>
      <c r="Q24" s="320" t="s">
        <v>1129</v>
      </c>
      <c r="R24" s="355">
        <f>IF(AND(ISBLANK(P24),ISTEXT(Q24)),"t1?",IF(AND(ISBLANK(Q24),ISBLANK(P24)),"",VLOOKUP(BH24,Materialliste!$A$2:$B$1615,2,FALSE)))</f>
        <v>1250</v>
      </c>
      <c r="S24" s="319">
        <v>3</v>
      </c>
      <c r="T24" s="320" t="s">
        <v>600</v>
      </c>
      <c r="U24" s="355">
        <f>IF(AND(ISBLANK(S24),ISTEXT(T24)),"t2?",IF(AND(ISBLANK(T24),ISBLANK(S24)),"",VLOOKUP(BI24,Materialliste!$A$2:$B$1615,2,FALSE)))</f>
        <v>350</v>
      </c>
      <c r="V24" s="319"/>
      <c r="W24" s="320"/>
      <c r="X24" s="355" t="str">
        <f>IF(AND(ISBLANK(V24),ISTEXT(W24)),"t3?",IF(AND(ISBLANK(W24),ISBLANK(V24)),"",VLOOKUP(BJ24,Materialliste!$A$2:$B$1615,2,FALSE)))</f>
        <v/>
      </c>
      <c r="Y24" s="443" t="s">
        <v>1926</v>
      </c>
      <c r="Z24" s="346">
        <f t="shared" si="0"/>
        <v>2.2800000000000002</v>
      </c>
      <c r="AA24" s="347">
        <f t="shared" si="11"/>
        <v>1.1424242424242426</v>
      </c>
      <c r="AB24" s="454">
        <f t="shared" si="12"/>
        <v>4.8858424242424254</v>
      </c>
      <c r="AC24" s="348">
        <f t="shared" si="13"/>
        <v>7.2420000000000009</v>
      </c>
      <c r="AD24" s="323">
        <f t="shared" si="1"/>
        <v>900</v>
      </c>
      <c r="AE24" s="349">
        <f t="shared" si="14"/>
        <v>3.4200896969696974</v>
      </c>
      <c r="AF24" s="480">
        <f t="shared" si="15"/>
        <v>5.0719818611663037</v>
      </c>
      <c r="AG24" s="482" t="str">
        <f t="shared" si="16"/>
        <v/>
      </c>
      <c r="AH24" s="461" t="str">
        <f t="shared" si="2"/>
        <v>39D 1978-2</v>
      </c>
      <c r="AI24" s="350">
        <f t="shared" si="17"/>
        <v>8</v>
      </c>
      <c r="AJ24" s="350">
        <f t="shared" si="18"/>
        <v>50</v>
      </c>
      <c r="AK24" s="350">
        <f t="shared" si="19"/>
        <v>8</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CR270LA-EG12/12</v>
      </c>
      <c r="BJ24" s="473">
        <f t="shared" si="5"/>
        <v>0</v>
      </c>
      <c r="BM24" s="474">
        <f t="shared" si="6"/>
        <v>3</v>
      </c>
      <c r="BN24" s="475">
        <f t="shared" si="22"/>
        <v>2.1</v>
      </c>
      <c r="BO24" s="474">
        <f t="shared" si="7"/>
        <v>2.1</v>
      </c>
      <c r="BP24" s="474">
        <f t="shared" si="8"/>
        <v>3</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t="s">
        <v>1948</v>
      </c>
      <c r="D25" s="333" t="s">
        <v>1949</v>
      </c>
      <c r="E25" s="334" t="s">
        <v>1188</v>
      </c>
      <c r="F25" s="335" t="s">
        <v>1936</v>
      </c>
      <c r="G25" s="336" t="s">
        <v>1671</v>
      </c>
      <c r="H25" s="337" t="s">
        <v>1937</v>
      </c>
      <c r="I25" s="479" t="s">
        <v>1188</v>
      </c>
      <c r="J25" s="338">
        <v>-38.630000000000003</v>
      </c>
      <c r="K25" s="339">
        <v>415.84</v>
      </c>
      <c r="L25" s="340">
        <v>170.1</v>
      </c>
      <c r="M25" s="342" t="s">
        <v>1931</v>
      </c>
      <c r="N25" s="342" t="s">
        <v>1932</v>
      </c>
      <c r="O25" s="342" t="s">
        <v>1188</v>
      </c>
      <c r="P25" s="319">
        <v>2.1</v>
      </c>
      <c r="Q25" s="320" t="s">
        <v>1129</v>
      </c>
      <c r="R25" s="355">
        <f>IF(AND(ISBLANK(P25),ISTEXT(Q25)),"t1?",IF(AND(ISBLANK(Q25),ISBLANK(P25)),"",VLOOKUP(BH25,Materialliste!$A$2:$B$1615,2,FALSE)))</f>
        <v>1250</v>
      </c>
      <c r="S25" s="319">
        <v>3</v>
      </c>
      <c r="T25" s="320" t="s">
        <v>600</v>
      </c>
      <c r="U25" s="355">
        <f>IF(AND(ISBLANK(S25),ISTEXT(T25)),"t2?",IF(AND(ISBLANK(T25),ISBLANK(S25)),"",VLOOKUP(BI25,Materialliste!$A$2:$B$1615,2,FALSE)))</f>
        <v>350</v>
      </c>
      <c r="V25" s="319"/>
      <c r="W25" s="320"/>
      <c r="X25" s="355" t="str">
        <f>IF(AND(ISBLANK(V25),ISTEXT(W25)),"t3?",IF(AND(ISBLANK(W25),ISBLANK(V25)),"",VLOOKUP(BJ25,Materialliste!$A$2:$B$1615,2,FALSE)))</f>
        <v/>
      </c>
      <c r="Y25" s="443" t="s">
        <v>1926</v>
      </c>
      <c r="Z25" s="346">
        <f t="shared" si="0"/>
        <v>2.2800000000000002</v>
      </c>
      <c r="AA25" s="347">
        <f t="shared" si="11"/>
        <v>1.1424242424242426</v>
      </c>
      <c r="AB25" s="454">
        <f t="shared" si="12"/>
        <v>4.8858424242424254</v>
      </c>
      <c r="AC25" s="348">
        <f t="shared" si="13"/>
        <v>7.2420000000000009</v>
      </c>
      <c r="AD25" s="323">
        <f t="shared" si="1"/>
        <v>900</v>
      </c>
      <c r="AE25" s="349">
        <f t="shared" si="14"/>
        <v>3.4200896969696974</v>
      </c>
      <c r="AF25" s="480">
        <f t="shared" si="15"/>
        <v>5.0719818611663037</v>
      </c>
      <c r="AG25" s="482" t="str">
        <f t="shared" si="16"/>
        <v/>
      </c>
      <c r="AH25" s="461" t="str">
        <f t="shared" si="2"/>
        <v>39D 1978-2</v>
      </c>
      <c r="AI25" s="350">
        <f t="shared" si="17"/>
        <v>8</v>
      </c>
      <c r="AJ25" s="350">
        <f t="shared" si="18"/>
        <v>50</v>
      </c>
      <c r="AK25" s="350">
        <f t="shared" si="19"/>
        <v>8</v>
      </c>
      <c r="AL25" s="351">
        <f t="shared" si="20"/>
        <v>50</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CR270LA-EG12/12</v>
      </c>
      <c r="BJ25" s="473">
        <f t="shared" si="5"/>
        <v>0</v>
      </c>
      <c r="BM25" s="474">
        <f t="shared" si="6"/>
        <v>3</v>
      </c>
      <c r="BN25" s="475">
        <f t="shared" si="22"/>
        <v>2.1</v>
      </c>
      <c r="BO25" s="474">
        <f t="shared" si="7"/>
        <v>2.1</v>
      </c>
      <c r="BP25" s="474">
        <f t="shared" si="8"/>
        <v>3</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Zylinderdurchmesser [mm]                 (nur für SPZ)</v>
      </c>
      <c r="D44" s="943"/>
      <c r="E44" s="945"/>
      <c r="F44" s="940" t="str">
        <f>IF($E$6="DE","Schweißkraft min. [N]","Welding Force min. [N]")</f>
        <v>Schweißkraft min. [N]</v>
      </c>
      <c r="G44" s="941"/>
      <c r="H44" s="411">
        <f>IF(AND(AN45="JA",ISTEXT(AG47),ISNUMBER(AL47)),(IF(G6="RZ",ROUNDDOWN(MIN(AE19:AE43)*1000,-2),IF(G6="SPZ",ROUNDDOWN(MIN(AE19:AE43)*1000,-2),"Zangentyp?"))),(IF(G6="RZ",ROUNDDOWN(MIN(AB19:AB43)*1000,-2),IF(G6="SPZ",ROUNDDOWN(MIN(AB19:AB43)*1000,-2),"Zangentyp?"))))</f>
        <v>4800</v>
      </c>
      <c r="I44" s="940" t="str">
        <f>IF($E$6="DE","Ausladung [mm]","Distance to Tip [mm]")</f>
        <v>Ausladung [mm]</v>
      </c>
      <c r="J44" s="956"/>
      <c r="K44" s="955"/>
      <c r="L44" s="412"/>
      <c r="M44" s="940" t="str">
        <f>IF($E$6="DE","Zylinderkraft min. [N]","Cyl. Force min. [N]")</f>
        <v>Zylinderkraft min. [N]</v>
      </c>
      <c r="N44" s="955"/>
      <c r="O44" s="413" t="e">
        <f>IF(G8="J",(H44/L46)*2,H44/L46)</f>
        <v>#DIV/0!</v>
      </c>
      <c r="P44" s="940" t="str">
        <f>IF($E$6="DE","Zylinderdruck min. [bar]","Cyl. Pressure min. [bar]")</f>
        <v>Zylinderdruck min. [bar]</v>
      </c>
      <c r="Q44" s="955"/>
      <c r="R44" s="760" t="e">
        <f>10*O44/(H46*E46)</f>
        <v>#DIV/0!</v>
      </c>
      <c r="S44" s="761"/>
      <c r="T44" s="780" t="str">
        <f>IF(AND($E$6="DE",G6="RZ"),"Ergebnis Zangen-/Motorauslegung",IF(AND($E$6="ENG",G6="RZ"),"Result Gun/Motor Design",IF(AND($E$6="DE",G6="SPZ"),"Ergebnis zwischen 1,0 bar und 10 bar:",IF(AND($E$6="ENG",G6="SPZ"),"Result between 1,0 bar and 10 bar:","-"))))</f>
        <v>Ergebnis zwischen 1,0 bar und 10 bar:</v>
      </c>
      <c r="U44" s="781"/>
      <c r="V44" s="781"/>
      <c r="W44" s="782"/>
      <c r="X44" s="828" t="str">
        <f>IF($E$6="DE","benötigte Elektrodenkappen für Schweißzange","required Electrode Caps for Gun")</f>
        <v>benötigte Elektrodenkappen für Schweißzange</v>
      </c>
      <c r="Y44" s="829"/>
      <c r="Z44" s="830"/>
      <c r="AA44" s="791" t="str">
        <f>IF($E$6="DE","benötigtes Fräsmesser","required Tip Dresser")</f>
        <v>benötigtes Fräsmesser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Legende der Indizes:</v>
      </c>
      <c r="AP44" s="861"/>
      <c r="AQ44" s="861"/>
      <c r="AR44" s="861"/>
      <c r="AS44" s="861"/>
      <c r="AT44" s="861"/>
      <c r="AU44" s="861"/>
      <c r="AV44" s="861"/>
      <c r="AW44" s="861"/>
      <c r="AX44" s="861"/>
      <c r="AY44" s="861"/>
      <c r="AZ44" s="861"/>
      <c r="BA44" s="861"/>
      <c r="BB44" s="862"/>
      <c r="BC44" s="282"/>
      <c r="BD44" s="282"/>
      <c r="BE44" s="282"/>
      <c r="BF44" s="282">
        <f>COUNTIF(BF19:BF43,"Ja")</f>
        <v>2</v>
      </c>
    </row>
    <row r="45" spans="1:90" ht="25.5" customHeight="1" thickBot="1">
      <c r="A45" s="797"/>
      <c r="B45" s="281"/>
      <c r="C45" s="944"/>
      <c r="D45" s="941"/>
      <c r="E45" s="946"/>
      <c r="F45" s="947" t="str">
        <f>IF($E$6="DE","Schweißkraft max. [N]","Welding Force max. [N]")</f>
        <v>Schweißkraft max. [N]</v>
      </c>
      <c r="G45" s="948"/>
      <c r="H45" s="414">
        <f>IF(AND(AN45="Ja",ISTEXT(AG47),ISNUMBER(AL47)),(IF(ROUNDUP(MAX(AE19:AE43)*2300,-3)&gt;5000,(ROUNDUP(MAX(AE19:AE43)*2300,-3)/2),2500)),(IF(ROUNDUP(MAX(AB19:AB43)*2200,-3)&gt;5000,(ROUNDUP(MAX(AB19:AB43)*2200,-3)/2),IF(BL9=TRUE,1100,2500))))</f>
        <v>5500</v>
      </c>
      <c r="I45" s="947" t="str">
        <f>IF(G6="RZ",IF($E$6="DE","Abstand Motor [mm]","Distance to Motor [mm]"),IF($E$6="DE","Abstand Zylinder [mm]","Distance to Cylinder [mm]"))</f>
        <v>Abstand Zylinder [mm]</v>
      </c>
      <c r="J45" s="957"/>
      <c r="K45" s="948"/>
      <c r="L45" s="415"/>
      <c r="M45" s="949" t="str">
        <f>IF($E$6="DE","Zylinderkraft max.[N]","Cyl. Force max.[N]")</f>
        <v>Zylinderkraft max.[N]</v>
      </c>
      <c r="N45" s="950"/>
      <c r="O45" s="416" t="e">
        <f>IF(G8="J",(H45/L46)*2,H45/L46)</f>
        <v>#DIV/0!</v>
      </c>
      <c r="P45" s="949" t="str">
        <f>IF($E$6="DE","Zylinderdruck max. [bar]","Cyl. Pressure max. [bar]")</f>
        <v>Zylinderdruck max. [bar]</v>
      </c>
      <c r="Q45" s="950"/>
      <c r="R45" s="758" t="e">
        <f>10*O45/(H46*E46)</f>
        <v>#DIV/0!</v>
      </c>
      <c r="S45" s="759"/>
      <c r="T45" s="788" t="str">
        <f>IF(G6="RZ",BH49,IF(G6="SPZ",BH46,IF(G6="-","Zangentyp/Guntype?")))</f>
        <v>max. Zangenkraft lt.Zeichnung überschritten!</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Zylinderwirkungsgrad                           (nur für SPZ)</v>
      </c>
      <c r="D46" s="950"/>
      <c r="E46" s="416">
        <v>0.95</v>
      </c>
      <c r="F46" s="949" t="str">
        <f>IF($E$6="DE","Zylinderfläche [mm²] (nur für SPZ)","Cylinder Surface [mm²] (only for SPZ)")</f>
        <v>Zylinderfläche [mm²] (nur für SPZ)</v>
      </c>
      <c r="G46" s="950"/>
      <c r="H46" s="420">
        <f>IF(E45="T",2*PI()/4*POWER(E44,2),PI()/4*POWER(E44,2))</f>
        <v>0</v>
      </c>
      <c r="I46" s="752" t="str">
        <f>IF($E$6="DE","Ausladung/ Abstand","Leverage Ratio")</f>
        <v>Ausladung/ Abstand</v>
      </c>
      <c r="J46" s="753"/>
      <c r="K46" s="754"/>
      <c r="L46" s="421" t="e">
        <f>IF(G19="X",L45/L44,1)</f>
        <v>#DIV/0!</v>
      </c>
      <c r="M46" s="951" t="str">
        <f>IF($E$6="DE","notwendige Motorkraft min. [N]","requiered Motor Force min. [N]")</f>
        <v>notwendige Motorkraft min. [N]</v>
      </c>
      <c r="N46" s="952"/>
      <c r="O46" s="422" t="e">
        <f>IF(G8="J",(H44/L46)*2,H44/L46)</f>
        <v>#DIV/0!</v>
      </c>
      <c r="P46" s="951" t="str">
        <f>IF($E$6="DE","erreichbare Motorkraft min. [N]","feasible Motor Force min. [N]")</f>
        <v>erreichbare Motorkraft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3"/>
      <c r="BJ46" s="279" t="s">
        <v>1709</v>
      </c>
    </row>
    <row r="47" spans="1:90" ht="42.75" customHeight="1" thickBot="1">
      <c r="A47" s="797"/>
      <c r="B47" s="281"/>
      <c r="C47" s="938" t="str">
        <f>IF($E$6="DE","Roboterhersteller                                          (nur für RZ)","Robot Supplier                                  (only for RZ)")</f>
        <v>Roboterhersteller                                          (nur für RZ)</v>
      </c>
      <c r="D47" s="939"/>
      <c r="E47" s="427"/>
      <c r="F47" s="938" t="str">
        <f>IF($E$6="DE","Zangengrundkörper               (nur für RZ)","Weld Gun Basic Body (only for RZ)")</f>
        <v>Zangengrundkörper               (nur für RZ)</v>
      </c>
      <c r="G47" s="939"/>
      <c r="H47" s="427"/>
      <c r="I47" s="755" t="str">
        <f>IF($E$6="DE","Motorhersteller                           (nur für RZ)","Motor Supplier                        (only for RZ)")</f>
        <v>Motorhersteller                           (nur für RZ)</v>
      </c>
      <c r="J47" s="756"/>
      <c r="K47" s="757"/>
      <c r="L47" s="427"/>
      <c r="M47" s="953" t="str">
        <f>IF($E$6="DE","notwendige Motorkraft max. [N]","requiered Motor Force max. [N]")</f>
        <v>notwendige Motorkraft max. [N]</v>
      </c>
      <c r="N47" s="954"/>
      <c r="O47" s="428" t="e">
        <f>IF(G8="J",(H45/L46)*2,H45/L46)</f>
        <v>#DIV/0!</v>
      </c>
      <c r="P47" s="953" t="str">
        <f>IF($E$6="DE","erreichbare Motorkraft max. [N]"," feasible  Motor Force max. [N]")</f>
        <v>erreichbare Motorkraft max. [N]</v>
      </c>
      <c r="Q47" s="954"/>
      <c r="R47" s="769" t="str">
        <f>IF(ISNA(VLOOKUP(CONCATENATE(E47,H47,L47),Motordaten!D3:H45,4,FALSE)),"",VLOOKUP(CONCATENATE(E47,H47,L47),Motordaten!D3:H45,4,FALSE))</f>
        <v/>
      </c>
      <c r="S47" s="770"/>
      <c r="T47" s="774" t="str">
        <f>IF($E$6="DE","Max.Elektrodenkraft lt.Zeichnung[N]","Max.Electrode-Force acc.to Drw.[N]")</f>
        <v>Max.Elektrodenkraft lt.Zeichnung[N]</v>
      </c>
      <c r="U47" s="775"/>
      <c r="V47" s="776"/>
      <c r="W47" s="429">
        <v>5000</v>
      </c>
      <c r="X47" s="777" t="str">
        <f>IF($E$6="DE","Motorbezeichnung:","Designation of Motor")</f>
        <v>Motorbezeichnung:</v>
      </c>
      <c r="Y47" s="778"/>
      <c r="Z47" s="779"/>
      <c r="AA47" s="777" t="str">
        <f>_xlfn.IFNA(VLOOKUP(CONCATENATE(E47,H47,L47),Motordaten!D3:H45,2,FALSE),IF(E6="DE","Kein Motortyp gefunden","no motortype found"))</f>
        <v>Kein Motortyp gefunden</v>
      </c>
      <c r="AB47" s="778"/>
      <c r="AC47" s="778"/>
      <c r="AD47" s="779"/>
      <c r="AE47" s="1040" t="str">
        <f>IF(E6="DE", "Name:                         (Abteilung)","Name                        (Dept.)")</f>
        <v>Name:                         (Abteilung)</v>
      </c>
      <c r="AF47" s="875"/>
      <c r="AG47" s="879"/>
      <c r="AH47" s="880"/>
      <c r="AI47" s="881"/>
      <c r="AJ47" s="874" t="str">
        <f>IF(E6="DE", "Datum","Date")</f>
        <v>Datum</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1709</v>
      </c>
    </row>
    <row r="48" spans="1:90" ht="12">
      <c r="A48" s="797"/>
      <c r="B48" s="281"/>
      <c r="C48" s="933"/>
      <c r="D48" s="934"/>
      <c r="E48" s="934"/>
      <c r="F48" s="935"/>
      <c r="G48" s="921" t="s">
        <v>0</v>
      </c>
      <c r="H48" s="922"/>
      <c r="I48" s="922"/>
      <c r="J48" s="923"/>
      <c r="K48" s="924" t="s">
        <v>12</v>
      </c>
      <c r="L48" s="925"/>
      <c r="M48" s="926" t="str">
        <f>IF(ISBLANK('Blatt 0'!O55),"Blatt 0!",'Blatt 0'!O55)</f>
        <v>1130</v>
      </c>
      <c r="N48" s="927"/>
      <c r="O48" s="905" t="s">
        <v>13</v>
      </c>
      <c r="P48" s="930" t="s">
        <v>2</v>
      </c>
      <c r="Q48" s="931"/>
      <c r="R48" s="843" t="str">
        <f>IF(ISBLANK('Blatt 0'!X55),"Blatt 0!",'Blatt 0'!X55)</f>
        <v>GME</v>
      </c>
      <c r="S48" s="844"/>
      <c r="T48" s="844"/>
      <c r="U48" s="844"/>
      <c r="V48" s="845"/>
      <c r="W48" s="371" t="s">
        <v>42</v>
      </c>
      <c r="X48" s="811">
        <f>IF(ISBLANK('Blatt 0'!AB55),"Blatt 0!",'Blatt 0'!AB55)</f>
        <v>3</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ST1130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1691</v>
      </c>
      <c r="N54" s="1027"/>
      <c r="O54" s="404" t="s">
        <v>1910</v>
      </c>
      <c r="P54" s="404"/>
      <c r="Q54" s="403"/>
      <c r="R54" s="403"/>
      <c r="S54" s="403"/>
      <c r="T54" s="403"/>
      <c r="U54" s="403"/>
      <c r="V54" s="403"/>
      <c r="W54" s="403"/>
      <c r="X54" s="403"/>
      <c r="Y54" s="403"/>
      <c r="Z54" s="403"/>
      <c r="AA54" s="403"/>
      <c r="AB54" s="403"/>
      <c r="AC54" s="405"/>
      <c r="AD54" s="405"/>
      <c r="AF54" s="894" t="s">
        <v>1269</v>
      </c>
      <c r="AG54" s="894"/>
      <c r="AH54" s="1037" t="s">
        <v>1714</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2" priority="428" stopIfTrue="1" operator="equal">
      <formula>"Ergebnis des Druckbereichs i.O."</formula>
    </cfRule>
    <cfRule type="cellIs" dxfId="151" priority="429" stopIfTrue="1" operator="equal">
      <formula>"Ergebnis des Druckbereichs nicht i.O."</formula>
    </cfRule>
  </conditionalFormatting>
  <conditionalFormatting sqref="BH47">
    <cfRule type="cellIs" dxfId="150" priority="426" stopIfTrue="1" operator="equal">
      <formula>" "</formula>
    </cfRule>
    <cfRule type="cellIs" dxfId="149" priority="427" stopIfTrue="1" operator="equal">
      <formula>"Rücksprache Prozessmethodik"</formula>
    </cfRule>
  </conditionalFormatting>
  <conditionalFormatting sqref="X46">
    <cfRule type="cellIs" dxfId="148" priority="420" stopIfTrue="1" operator="notEqual">
      <formula>"39D 1978-2"</formula>
    </cfRule>
    <cfRule type="containsText" dxfId="147" priority="421" stopIfTrue="1" operator="containsText" text="39D 1978-2">
      <formula>NOT(ISERROR(SEARCH("39D 1978-2",X46)))</formula>
    </cfRule>
    <cfRule type="expression" priority="422" stopIfTrue="1">
      <formula>1</formula>
    </cfRule>
  </conditionalFormatting>
  <conditionalFormatting sqref="AA46">
    <cfRule type="cellIs" dxfId="146" priority="419" stopIfTrue="1" operator="notEqual">
      <formula>6</formula>
    </cfRule>
  </conditionalFormatting>
  <conditionalFormatting sqref="AB46">
    <cfRule type="cellIs" dxfId="145" priority="418" stopIfTrue="1" operator="notEqual">
      <formula>50</formula>
    </cfRule>
  </conditionalFormatting>
  <conditionalFormatting sqref="AC46">
    <cfRule type="cellIs" dxfId="144" priority="417" stopIfTrue="1" operator="notEqual">
      <formula>6</formula>
    </cfRule>
  </conditionalFormatting>
  <conditionalFormatting sqref="AD46">
    <cfRule type="cellIs" dxfId="143" priority="414" stopIfTrue="1" operator="notEqual">
      <formula>50</formula>
    </cfRule>
  </conditionalFormatting>
  <conditionalFormatting sqref="CB19:CB43">
    <cfRule type="cellIs" dxfId="142" priority="439" stopIfTrue="1" operator="equal">
      <formula>$AC$19</formula>
    </cfRule>
  </conditionalFormatting>
  <conditionalFormatting sqref="G19:G43">
    <cfRule type="expression" dxfId="141" priority="413" stopIfTrue="1">
      <formula>OR(AND(ISNUMBER($P19),ISBLANK($G19)),AND(ISTEXT($G19),ISBLANK($P19)))</formula>
    </cfRule>
  </conditionalFormatting>
  <conditionalFormatting sqref="BH46">
    <cfRule type="cellIs" dxfId="140" priority="397" operator="equal">
      <formula>"pressure level not allowed"</formula>
    </cfRule>
    <cfRule type="cellIs" dxfId="139" priority="398" operator="equal">
      <formula>"presure level allowed"</formula>
    </cfRule>
    <cfRule type="cellIs" dxfId="138" priority="399" operator="equal">
      <formula>"Max. Force of gun acc.Drw.exceeded!"</formula>
    </cfRule>
    <cfRule type="cellIs" dxfId="137" priority="409" stopIfTrue="1" operator="equal">
      <formula>"Zangenkraft lt.Zangenzeichnung überschritten!"</formula>
    </cfRule>
  </conditionalFormatting>
  <conditionalFormatting sqref="AE19:AE43">
    <cfRule type="expression" dxfId="136" priority="405">
      <formula>ISERROR(AE19)</formula>
    </cfRule>
  </conditionalFormatting>
  <conditionalFormatting sqref="BH47">
    <cfRule type="cellIs" dxfId="135" priority="396" operator="equal">
      <formula>"consult process methodology"</formula>
    </cfRule>
  </conditionalFormatting>
  <conditionalFormatting sqref="W47">
    <cfRule type="expression" dxfId="134" priority="440" stopIfTrue="1">
      <formula>ISBLANK($W$47)</formula>
    </cfRule>
  </conditionalFormatting>
  <conditionalFormatting sqref="G6">
    <cfRule type="cellIs" dxfId="133" priority="395" operator="equal">
      <formula>"-"</formula>
    </cfRule>
  </conditionalFormatting>
  <conditionalFormatting sqref="H44">
    <cfRule type="cellIs" dxfId="132" priority="394" operator="equal">
      <formula>"Zangentyp?"</formula>
    </cfRule>
  </conditionalFormatting>
  <conditionalFormatting sqref="BH49">
    <cfRule type="cellIs" dxfId="131" priority="392" stopIfTrue="1" operator="equal">
      <formula>"Zangen/Motorauslegung i.O."</formula>
    </cfRule>
    <cfRule type="cellIs" dxfId="130" priority="393" stopIfTrue="1" operator="equal">
      <formula>"Zangen/Motorauslegung nicht i.O."</formula>
    </cfRule>
  </conditionalFormatting>
  <conditionalFormatting sqref="BH49 BJ49:BK49">
    <cfRule type="cellIs" dxfId="129" priority="386" operator="equal">
      <formula>"Gun/Electromotor Design not O.K."</formula>
    </cfRule>
    <cfRule type="cellIs" dxfId="128" priority="387" operator="equal">
      <formula>"Gun/Electromotor Design O.K."</formula>
    </cfRule>
    <cfRule type="cellIs" dxfId="127" priority="388" operator="equal">
      <formula>"incorrect Gun Type/Gun Body/Gun Measure"</formula>
    </cfRule>
    <cfRule type="cellIs" dxfId="126" priority="389" operator="equal">
      <formula>"Max. Force of Gun acc.Drw.exceeded!"</formula>
    </cfRule>
    <cfRule type="cellIs" dxfId="125" priority="390" operator="equal">
      <formula>"max. Zangenkraft lt.Zeichnung überschritten!"</formula>
    </cfRule>
    <cfRule type="cellIs" dxfId="124" priority="391" stopIfTrue="1" operator="equal">
      <formula>"Zangentyp/-grundkörper/-maße falsch"</formula>
    </cfRule>
  </conditionalFormatting>
  <conditionalFormatting sqref="BH50">
    <cfRule type="cellIs" dxfId="123" priority="384" stopIfTrue="1" operator="equal">
      <formula>" "</formula>
    </cfRule>
    <cfRule type="cellIs" dxfId="122" priority="385" stopIfTrue="1" operator="equal">
      <formula>"Rücksprache Prozessmethodik"</formula>
    </cfRule>
  </conditionalFormatting>
  <conditionalFormatting sqref="T46">
    <cfRule type="cellIs" dxfId="121" priority="374" stopIfTrue="1" operator="equal">
      <formula>" "</formula>
    </cfRule>
    <cfRule type="cellIs" dxfId="120" priority="375" stopIfTrue="1" operator="equal">
      <formula>"Rücksprache Prozessmethodik"</formula>
    </cfRule>
  </conditionalFormatting>
  <conditionalFormatting sqref="T46">
    <cfRule type="cellIs" dxfId="119" priority="373" operator="equal">
      <formula>"consult process methodology"</formula>
    </cfRule>
  </conditionalFormatting>
  <conditionalFormatting sqref="T45">
    <cfRule type="cellIs" dxfId="118" priority="371" stopIfTrue="1" operator="equal">
      <formula>"Zangen/Motorauslegung i.O."</formula>
    </cfRule>
    <cfRule type="cellIs" dxfId="117" priority="372" stopIfTrue="1" operator="equal">
      <formula>"Zangen/Motorauslegung nicht i.O."</formula>
    </cfRule>
  </conditionalFormatting>
  <conditionalFormatting sqref="T45:W45">
    <cfRule type="cellIs" dxfId="116" priority="331" operator="equal">
      <formula>"Zangentyp/Guntype?"</formula>
    </cfRule>
    <cfRule type="cellIs" dxfId="115" priority="361" operator="equal">
      <formula>"Pressure level not allowed"</formula>
    </cfRule>
    <cfRule type="cellIs" dxfId="114" priority="362" operator="equal">
      <formula>"Presure level allowed"</formula>
    </cfRule>
    <cfRule type="cellIs" dxfId="113" priority="363" operator="equal">
      <formula>"Ergebnis des Druckbereichs nicht i.O."</formula>
    </cfRule>
    <cfRule type="cellIs" dxfId="112" priority="364" operator="equal">
      <formula>"Ergebnis des Druckbereichs i.O."</formula>
    </cfRule>
    <cfRule type="cellIs" dxfId="111" priority="365" operator="equal">
      <formula>"Gun/Electromotor Design not O.K."</formula>
    </cfRule>
    <cfRule type="cellIs" dxfId="110" priority="366" operator="equal">
      <formula>"Gun/Electromotor Design O.K."</formula>
    </cfRule>
    <cfRule type="cellIs" dxfId="109" priority="367" operator="equal">
      <formula>"incorrect Gun Type/Gun Body/Gun Measure"</formula>
    </cfRule>
    <cfRule type="cellIs" dxfId="108" priority="368" operator="equal">
      <formula>"Max. Force of Gun acc.Drw.exceeded!"</formula>
    </cfRule>
    <cfRule type="cellIs" dxfId="107" priority="369" operator="equal">
      <formula>"max. Zangenkraft lt.Zeichnung überschritten!"</formula>
    </cfRule>
    <cfRule type="cellIs" dxfId="106" priority="370" stopIfTrue="1" operator="equal">
      <formula>"Zangentyp/-grundkörper/-maße falsch"</formula>
    </cfRule>
  </conditionalFormatting>
  <conditionalFormatting sqref="E47">
    <cfRule type="expression" dxfId="105" priority="360">
      <formula>$G$6="SPZ"</formula>
    </cfRule>
  </conditionalFormatting>
  <conditionalFormatting sqref="E44">
    <cfRule type="expression" dxfId="104" priority="353">
      <formula>$G$6="RZ"</formula>
    </cfRule>
  </conditionalFormatting>
  <conditionalFormatting sqref="E46">
    <cfRule type="expression" dxfId="103" priority="214">
      <formula>$G$6="RZ"</formula>
    </cfRule>
  </conditionalFormatting>
  <conditionalFormatting sqref="L44">
    <cfRule type="expression" dxfId="102" priority="300">
      <formula>ISERR($L$46)</formula>
    </cfRule>
  </conditionalFormatting>
  <conditionalFormatting sqref="L45">
    <cfRule type="expression" dxfId="101" priority="299">
      <formula>ISERR($L$46)</formula>
    </cfRule>
  </conditionalFormatting>
  <conditionalFormatting sqref="Y19">
    <cfRule type="expression" dxfId="100" priority="281">
      <formula>ISERR(AE19)</formula>
    </cfRule>
  </conditionalFormatting>
  <conditionalFormatting sqref="Y20:Y43">
    <cfRule type="expression" dxfId="99" priority="280">
      <formula>ISERR(AE20)</formula>
    </cfRule>
  </conditionalFormatting>
  <conditionalFormatting sqref="S41:S43">
    <cfRule type="expression" dxfId="98" priority="271">
      <formula>$U41="t2?"</formula>
    </cfRule>
  </conditionalFormatting>
  <conditionalFormatting sqref="AN45:AN46">
    <cfRule type="cellIs" dxfId="97" priority="237" operator="equal">
      <formula>"Ja"</formula>
    </cfRule>
  </conditionalFormatting>
  <conditionalFormatting sqref="AE45:AE46">
    <cfRule type="expression" dxfId="96" priority="444">
      <formula>AN45="Ja"</formula>
    </cfRule>
  </conditionalFormatting>
  <conditionalFormatting sqref="AE47">
    <cfRule type="expression" dxfId="95" priority="445">
      <formula>AND(AN45="Ja",ISBLANK($AG$47))</formula>
    </cfRule>
  </conditionalFormatting>
  <conditionalFormatting sqref="AJ47">
    <cfRule type="expression" dxfId="94" priority="446">
      <formula>AND(AN45="Ja",ISBLANK($AL$47))</formula>
    </cfRule>
  </conditionalFormatting>
  <conditionalFormatting sqref="AG47">
    <cfRule type="expression" dxfId="93" priority="236">
      <formula>AND(AN45="Ja",ISBLANK($AG$47))</formula>
    </cfRule>
  </conditionalFormatting>
  <conditionalFormatting sqref="AL47">
    <cfRule type="expression" dxfId="92" priority="235">
      <formula>AND(AN45="Ja",ISBLANK($AL$47))</formula>
    </cfRule>
  </conditionalFormatting>
  <conditionalFormatting sqref="G8">
    <cfRule type="expression" dxfId="91" priority="234">
      <formula>NOT(OR(G8="J",G8="N"))</formula>
    </cfRule>
  </conditionalFormatting>
  <conditionalFormatting sqref="S31:S39">
    <cfRule type="expression" dxfId="90" priority="228">
      <formula>$R31="t1?"</formula>
    </cfRule>
  </conditionalFormatting>
  <conditionalFormatting sqref="S40">
    <cfRule type="expression" dxfId="89" priority="227">
      <formula>$U40="t2?"</formula>
    </cfRule>
  </conditionalFormatting>
  <conditionalFormatting sqref="H47">
    <cfRule type="expression" dxfId="88" priority="222">
      <formula>$G$6="SPZ"</formula>
    </cfRule>
  </conditionalFormatting>
  <conditionalFormatting sqref="L47">
    <cfRule type="expression" dxfId="87" priority="221">
      <formula>$G$6="SPZ"</formula>
    </cfRule>
  </conditionalFormatting>
  <conditionalFormatting sqref="O46">
    <cfRule type="expression" dxfId="86" priority="220">
      <formula>$G$6="SPZ"</formula>
    </cfRule>
  </conditionalFormatting>
  <conditionalFormatting sqref="O47">
    <cfRule type="expression" dxfId="85" priority="219">
      <formula>$G$6="SPZ"</formula>
    </cfRule>
  </conditionalFormatting>
  <conditionalFormatting sqref="R46">
    <cfRule type="expression" dxfId="84" priority="218">
      <formula>$G$6="SPZ"</formula>
    </cfRule>
  </conditionalFormatting>
  <conditionalFormatting sqref="R47">
    <cfRule type="expression" dxfId="83" priority="217">
      <formula>$G$6="SPZ"</formula>
    </cfRule>
  </conditionalFormatting>
  <conditionalFormatting sqref="X47">
    <cfRule type="expression" dxfId="82" priority="216">
      <formula>$G$6="SPZ"</formula>
    </cfRule>
  </conditionalFormatting>
  <conditionalFormatting sqref="AA47">
    <cfRule type="expression" dxfId="81" priority="215">
      <formula>$G$6="SPZ"</formula>
    </cfRule>
  </conditionalFormatting>
  <conditionalFormatting sqref="H46">
    <cfRule type="expression" dxfId="80" priority="213">
      <formula>$G$6="RZ"</formula>
    </cfRule>
  </conditionalFormatting>
  <conditionalFormatting sqref="O44">
    <cfRule type="expression" dxfId="79" priority="212">
      <formula>$G$6="RZ"</formula>
    </cfRule>
  </conditionalFormatting>
  <conditionalFormatting sqref="O45">
    <cfRule type="expression" dxfId="78" priority="211">
      <formula>$G$6="RZ"</formula>
    </cfRule>
  </conditionalFormatting>
  <conditionalFormatting sqref="R44">
    <cfRule type="expression" dxfId="77" priority="210">
      <formula>$G$6="RZ"</formula>
    </cfRule>
  </conditionalFormatting>
  <conditionalFormatting sqref="R45">
    <cfRule type="expression" dxfId="76" priority="209">
      <formula>$G$6="RZ"</formula>
    </cfRule>
  </conditionalFormatting>
  <conditionalFormatting sqref="C44:D45">
    <cfRule type="expression" dxfId="75" priority="208">
      <formula>$G$6="RZ"</formula>
    </cfRule>
  </conditionalFormatting>
  <conditionalFormatting sqref="C46:D46">
    <cfRule type="expression" dxfId="74" priority="207">
      <formula>$G$6="RZ"</formula>
    </cfRule>
  </conditionalFormatting>
  <conditionalFormatting sqref="F46:G46">
    <cfRule type="expression" dxfId="73" priority="206">
      <formula>$G$6="RZ"</formula>
    </cfRule>
  </conditionalFormatting>
  <conditionalFormatting sqref="M45:N45">
    <cfRule type="expression" dxfId="72" priority="205">
      <formula>$G$6="RZ"</formula>
    </cfRule>
  </conditionalFormatting>
  <conditionalFormatting sqref="P45:Q45">
    <cfRule type="expression" dxfId="71" priority="204">
      <formula>$G$6="RZ"</formula>
    </cfRule>
  </conditionalFormatting>
  <conditionalFormatting sqref="M44:N44">
    <cfRule type="expression" dxfId="70" priority="203">
      <formula>$G$6="RZ"</formula>
    </cfRule>
  </conditionalFormatting>
  <conditionalFormatting sqref="P44:Q44">
    <cfRule type="expression" dxfId="69" priority="202">
      <formula>$G$6="RZ"</formula>
    </cfRule>
  </conditionalFormatting>
  <conditionalFormatting sqref="C47:D47">
    <cfRule type="expression" dxfId="68" priority="201">
      <formula>$G$6="SPZ"</formula>
    </cfRule>
  </conditionalFormatting>
  <conditionalFormatting sqref="F47:G47">
    <cfRule type="expression" dxfId="67" priority="200">
      <formula>$G$6="SPZ"</formula>
    </cfRule>
  </conditionalFormatting>
  <conditionalFormatting sqref="I47">
    <cfRule type="expression" dxfId="66" priority="199">
      <formula>$G$6="SPZ"</formula>
    </cfRule>
  </conditionalFormatting>
  <conditionalFormatting sqref="M46:N46">
    <cfRule type="expression" dxfId="65" priority="198">
      <formula>$G$6="SPZ"</formula>
    </cfRule>
  </conditionalFormatting>
  <conditionalFormatting sqref="M47:N47">
    <cfRule type="expression" dxfId="64" priority="197">
      <formula>$G$6="SPZ"</formula>
    </cfRule>
  </conditionalFormatting>
  <conditionalFormatting sqref="P47:Q47">
    <cfRule type="expression" dxfId="63" priority="196">
      <formula>$G$6="SPZ"</formula>
    </cfRule>
  </conditionalFormatting>
  <conditionalFormatting sqref="P46:Q46">
    <cfRule type="expression" dxfId="62" priority="195">
      <formula>$G$6="SPZ"</formula>
    </cfRule>
  </conditionalFormatting>
  <conditionalFormatting sqref="AF45:AM46">
    <cfRule type="expression" dxfId="61" priority="448">
      <formula>BG45="Ja"</formula>
    </cfRule>
  </conditionalFormatting>
  <conditionalFormatting sqref="AF47">
    <cfRule type="expression" dxfId="60" priority="450">
      <formula>AND(BG45="Ja",ISBLANK($AG$47))</formula>
    </cfRule>
  </conditionalFormatting>
  <conditionalFormatting sqref="AK47">
    <cfRule type="expression" dxfId="59" priority="452">
      <formula>AND(BG45="Ja",ISBLANK($AL$47))</formula>
    </cfRule>
  </conditionalFormatting>
  <conditionalFormatting sqref="AH47:AI47">
    <cfRule type="expression" dxfId="58" priority="454">
      <formula>AND(BG45="Ja",ISBLANK($AG$47))</formula>
    </cfRule>
  </conditionalFormatting>
  <conditionalFormatting sqref="AM47:AN47">
    <cfRule type="expression" dxfId="57" priority="459">
      <formula>AND(BG45="Ja",ISBLANK($AL$47))</formula>
    </cfRule>
  </conditionalFormatting>
  <conditionalFormatting sqref="W21">
    <cfRule type="expression" dxfId="56" priority="151">
      <formula>CELL("Schutz",W21)</formula>
    </cfRule>
  </conditionalFormatting>
  <conditionalFormatting sqref="V21">
    <cfRule type="expression" dxfId="55" priority="152">
      <formula>$R21="t1?"</formula>
    </cfRule>
  </conditionalFormatting>
  <conditionalFormatting sqref="V22 V31:V43 V26:V29">
    <cfRule type="expression" dxfId="54" priority="180">
      <formula>$R22="t1?"</formula>
    </cfRule>
  </conditionalFormatting>
  <conditionalFormatting sqref="P41:P43">
    <cfRule type="expression" dxfId="53" priority="175">
      <formula>$U41="t2?"</formula>
    </cfRule>
  </conditionalFormatting>
  <conditionalFormatting sqref="P31:P39">
    <cfRule type="expression" dxfId="52" priority="173">
      <formula>$R31="t1?"</formula>
    </cfRule>
  </conditionalFormatting>
  <conditionalFormatting sqref="P40">
    <cfRule type="expression" dxfId="51" priority="172">
      <formula>$U40="t2?"</formula>
    </cfRule>
  </conditionalFormatting>
  <conditionalFormatting sqref="AE44:AN44">
    <cfRule type="containsText" dxfId="50"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9" priority="143">
      <formula>$R19="t1?"</formula>
    </cfRule>
  </conditionalFormatting>
  <conditionalFormatting sqref="P20:P28">
    <cfRule type="expression" dxfId="48" priority="142">
      <formula>$R20="t1?"</formula>
    </cfRule>
  </conditionalFormatting>
  <conditionalFormatting sqref="P19:P28">
    <cfRule type="expression" dxfId="47" priority="139">
      <formula>CELL("Schutz",P19)</formula>
    </cfRule>
  </conditionalFormatting>
  <conditionalFormatting sqref="V19">
    <cfRule type="expression" dxfId="46" priority="132">
      <formula>$R19="t1?"</formula>
    </cfRule>
  </conditionalFormatting>
  <conditionalFormatting sqref="V19">
    <cfRule type="expression" dxfId="45" priority="131">
      <formula>CELL("Schutz",V19)</formula>
    </cfRule>
  </conditionalFormatting>
  <conditionalFormatting sqref="P29">
    <cfRule type="expression" dxfId="44" priority="129">
      <formula>$R29="t1?"</formula>
    </cfRule>
  </conditionalFormatting>
  <conditionalFormatting sqref="S29">
    <cfRule type="expression" dxfId="43" priority="128">
      <formula>$R29="t1?"</formula>
    </cfRule>
  </conditionalFormatting>
  <conditionalFormatting sqref="P30">
    <cfRule type="expression" dxfId="42" priority="127">
      <formula>$R30="t1?"</formula>
    </cfRule>
  </conditionalFormatting>
  <conditionalFormatting sqref="S30">
    <cfRule type="expression" dxfId="41" priority="126">
      <formula>$R30="t1?"</formula>
    </cfRule>
  </conditionalFormatting>
  <conditionalFormatting sqref="V30">
    <cfRule type="expression" dxfId="40" priority="125">
      <formula>$R30="t1?"</formula>
    </cfRule>
  </conditionalFormatting>
  <conditionalFormatting sqref="I19:I43">
    <cfRule type="aboveAverage" dxfId="39" priority="123" aboveAverage="0"/>
    <cfRule type="aboveAverage" dxfId="38" priority="124"/>
  </conditionalFormatting>
  <conditionalFormatting sqref="G20:G43">
    <cfRule type="expression" dxfId="37" priority="117">
      <formula>AND(BI10=TRUE,BH10=TRUE)</formula>
    </cfRule>
  </conditionalFormatting>
  <conditionalFormatting sqref="G19:G43">
    <cfRule type="expression" dxfId="36" priority="460">
      <formula>AND(G19="X",$BJ$9=TRUE,$BI$9=TRUE)</formula>
    </cfRule>
  </conditionalFormatting>
  <conditionalFormatting sqref="G20:G43">
    <cfRule type="expression" dxfId="35" priority="461">
      <formula>AND($BJ$9=TRUE,$BI$9=TRUE)</formula>
    </cfRule>
  </conditionalFormatting>
  <conditionalFormatting sqref="V25">
    <cfRule type="expression" dxfId="34" priority="104">
      <formula>$R25="t1?"</formula>
    </cfRule>
  </conditionalFormatting>
  <conditionalFormatting sqref="Q27">
    <cfRule type="expression" dxfId="33" priority="95">
      <formula>CELL("Schutz",Q27)</formula>
    </cfRule>
  </conditionalFormatting>
  <conditionalFormatting sqref="W25:W27">
    <cfRule type="expression" dxfId="32" priority="92">
      <formula>CELL("Schutz",W25)</formula>
    </cfRule>
  </conditionalFormatting>
  <conditionalFormatting sqref="T27">
    <cfRule type="expression" dxfId="31" priority="90">
      <formula>CELL("Schutz",T27)</formula>
    </cfRule>
  </conditionalFormatting>
  <conditionalFormatting sqref="S19:S28">
    <cfRule type="expression" dxfId="28" priority="64">
      <formula>$R19="t1?"</formula>
    </cfRule>
  </conditionalFormatting>
  <conditionalFormatting sqref="S19:S28">
    <cfRule type="expression" dxfId="27" priority="63">
      <formula>CELL("Schutz",S19)</formula>
    </cfRule>
  </conditionalFormatting>
  <conditionalFormatting sqref="T21">
    <cfRule type="expression" dxfId="26" priority="62">
      <formula>CELL("Schutz",T21)</formula>
    </cfRule>
  </conditionalFormatting>
  <conditionalFormatting sqref="Q26">
    <cfRule type="expression" dxfId="23" priority="50">
      <formula>CELL("Schutz",Q26)</formula>
    </cfRule>
  </conditionalFormatting>
  <conditionalFormatting sqref="T26">
    <cfRule type="expression" dxfId="22" priority="47">
      <formula>CELL("Schutz",T26)</formula>
    </cfRule>
  </conditionalFormatting>
  <conditionalFormatting sqref="V24">
    <cfRule type="expression" dxfId="21" priority="46">
      <formula>$R24="t1?"</formula>
    </cfRule>
  </conditionalFormatting>
  <conditionalFormatting sqref="V24">
    <cfRule type="expression" dxfId="20" priority="45">
      <formula>CELL("Schutz",V24)</formula>
    </cfRule>
  </conditionalFormatting>
  <conditionalFormatting sqref="W24">
    <cfRule type="expression" dxfId="19" priority="44">
      <formula>CELL("Schutz",W24)</formula>
    </cfRule>
  </conditionalFormatting>
  <conditionalFormatting sqref="W23">
    <cfRule type="expression" dxfId="18" priority="42">
      <formula>CELL("Schutz",W23)</formula>
    </cfRule>
  </conditionalFormatting>
  <conditionalFormatting sqref="V23">
    <cfRule type="expression" dxfId="17" priority="41">
      <formula>$R23="t1?"</formula>
    </cfRule>
  </conditionalFormatting>
  <conditionalFormatting sqref="V23">
    <cfRule type="expression" dxfId="16" priority="40">
      <formula>CELL("Schutz",V23)</formula>
    </cfRule>
  </conditionalFormatting>
  <conditionalFormatting sqref="V20">
    <cfRule type="expression" dxfId="15" priority="33">
      <formula>$R20="t1?"</formula>
    </cfRule>
  </conditionalFormatting>
  <conditionalFormatting sqref="Q19">
    <cfRule type="expression" dxfId="14" priority="29">
      <formula>CELL("Schutz",Q19)</formula>
    </cfRule>
  </conditionalFormatting>
  <conditionalFormatting sqref="W19">
    <cfRule type="expression" dxfId="13" priority="27">
      <formula>CELL("Schutz",W19)</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Q20:Q25">
    <cfRule type="expression" dxfId="3" priority="3">
      <formula>CELL("Schutz",Q20)</formula>
    </cfRule>
  </conditionalFormatting>
  <conditionalFormatting sqref="T19:T20">
    <cfRule type="expression" dxfId="2" priority="2">
      <formula>CELL("Schutz",T19)</formula>
    </cfRule>
  </conditionalFormatting>
  <conditionalFormatting sqref="T22:T25">
    <cfRule type="expression" dxfId="1" priority="1">
      <formula>CELL("Schutz",T22)</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1731</v>
      </c>
      <c r="B1" s="9" t="s">
        <v>1670</v>
      </c>
      <c r="C1" s="14"/>
      <c r="D1" s="1087" t="s">
        <v>1669</v>
      </c>
      <c r="E1" s="1087" t="s">
        <v>1732</v>
      </c>
    </row>
    <row r="2" spans="1:5" ht="15" customHeight="1">
      <c r="A2" s="16"/>
      <c r="B2" s="17"/>
      <c r="C2" s="1099" t="s">
        <v>1787</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1805</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1807</v>
      </c>
      <c r="B1479" s="7">
        <v>1000</v>
      </c>
      <c r="C1479" s="1084" t="s">
        <v>1806</v>
      </c>
      <c r="D1479" s="437"/>
      <c r="E1479" s="260"/>
    </row>
    <row r="1480" spans="1:5" ht="12.75" customHeight="1">
      <c r="A1480" s="256" t="s">
        <v>1808</v>
      </c>
      <c r="B1480" s="489">
        <v>1000</v>
      </c>
      <c r="C1480" s="1084"/>
      <c r="D1480" s="437"/>
      <c r="E1480" s="260"/>
    </row>
    <row r="1481" spans="1:5" ht="12.75" customHeight="1">
      <c r="A1481" s="256" t="s">
        <v>1809</v>
      </c>
      <c r="B1481" s="489">
        <v>1000</v>
      </c>
      <c r="C1481" s="1084"/>
      <c r="D1481" s="437"/>
      <c r="E1481" s="260"/>
    </row>
    <row r="1482" spans="1:5" ht="12.75" customHeight="1">
      <c r="A1482" s="256" t="s">
        <v>1810</v>
      </c>
      <c r="B1482" s="489">
        <v>1000</v>
      </c>
      <c r="C1482" s="1084"/>
      <c r="D1482" s="437"/>
      <c r="E1482" s="260"/>
    </row>
    <row r="1483" spans="1:5" ht="12.75" customHeight="1">
      <c r="A1483" s="256" t="s">
        <v>1811</v>
      </c>
      <c r="B1483" s="489">
        <v>1000</v>
      </c>
      <c r="C1483" s="1084"/>
      <c r="D1483" s="437"/>
      <c r="E1483" s="260"/>
    </row>
    <row r="1484" spans="1:5" ht="12.75" customHeight="1">
      <c r="A1484" s="256" t="s">
        <v>1812</v>
      </c>
      <c r="B1484" s="489">
        <v>1000</v>
      </c>
      <c r="C1484" s="1084"/>
      <c r="D1484" s="437"/>
      <c r="E1484" s="260"/>
    </row>
    <row r="1485" spans="1:5" ht="12.75" customHeight="1">
      <c r="A1485" s="256" t="s">
        <v>1813</v>
      </c>
      <c r="B1485" s="489">
        <v>1000</v>
      </c>
      <c r="C1485" s="1084"/>
      <c r="D1485" s="437"/>
      <c r="E1485" s="260"/>
    </row>
    <row r="1486" spans="1:5" ht="12.75" customHeight="1">
      <c r="A1486" s="256" t="s">
        <v>1814</v>
      </c>
      <c r="B1486" s="489">
        <v>1000</v>
      </c>
      <c r="C1486" s="1084"/>
      <c r="D1486" s="437"/>
      <c r="E1486" s="260"/>
    </row>
    <row r="1487" spans="1:5" ht="12.75" customHeight="1">
      <c r="A1487" s="256" t="s">
        <v>1815</v>
      </c>
      <c r="B1487" s="489">
        <v>1000</v>
      </c>
      <c r="C1487" s="1084"/>
      <c r="D1487" s="437"/>
      <c r="E1487" s="260"/>
    </row>
    <row r="1488" spans="1:5" ht="12.75" customHeight="1">
      <c r="A1488" s="256" t="s">
        <v>1816</v>
      </c>
      <c r="B1488" s="489">
        <v>1000</v>
      </c>
      <c r="C1488" s="1084"/>
      <c r="D1488" s="437"/>
      <c r="E1488" s="260"/>
    </row>
    <row r="1489" spans="1:5" ht="12.75" customHeight="1">
      <c r="A1489" s="256" t="s">
        <v>1817</v>
      </c>
      <c r="B1489" s="489">
        <v>1250</v>
      </c>
      <c r="C1489" s="1084"/>
      <c r="D1489" s="437"/>
      <c r="E1489" s="260"/>
    </row>
    <row r="1490" spans="1:5" ht="12.75" customHeight="1">
      <c r="A1490" s="256" t="s">
        <v>1818</v>
      </c>
      <c r="B1490" s="489">
        <v>1250</v>
      </c>
      <c r="C1490" s="1084"/>
      <c r="D1490" s="437"/>
      <c r="E1490" s="260"/>
    </row>
    <row r="1491" spans="1:5" ht="12.75" customHeight="1">
      <c r="A1491" s="256" t="s">
        <v>1819</v>
      </c>
      <c r="B1491" s="489">
        <v>1250</v>
      </c>
      <c r="C1491" s="1084"/>
      <c r="D1491" s="437"/>
      <c r="E1491" s="260"/>
    </row>
    <row r="1492" spans="1:5" ht="12.75" customHeight="1">
      <c r="A1492" s="256" t="s">
        <v>1820</v>
      </c>
      <c r="B1492" s="489">
        <v>1250</v>
      </c>
      <c r="C1492" s="1084"/>
      <c r="D1492" s="437"/>
      <c r="E1492" s="260"/>
    </row>
    <row r="1493" spans="1:5" ht="12.75" customHeight="1">
      <c r="A1493" s="256" t="s">
        <v>1821</v>
      </c>
      <c r="B1493" s="489">
        <v>1250</v>
      </c>
      <c r="C1493" s="1084"/>
      <c r="D1493" s="437"/>
      <c r="E1493" s="260"/>
    </row>
    <row r="1494" spans="1:5" ht="12.75" customHeight="1">
      <c r="A1494" s="256" t="s">
        <v>1822</v>
      </c>
      <c r="B1494" s="489">
        <v>1250</v>
      </c>
      <c r="C1494" s="1084"/>
      <c r="D1494" s="437"/>
      <c r="E1494" s="260"/>
    </row>
    <row r="1495" spans="1:5" ht="12.75" customHeight="1">
      <c r="A1495" s="256" t="s">
        <v>1823</v>
      </c>
      <c r="B1495" s="489">
        <v>1250</v>
      </c>
      <c r="C1495" s="1084"/>
      <c r="D1495" s="437"/>
      <c r="E1495" s="260"/>
    </row>
    <row r="1496" spans="1:5" ht="12.75" customHeight="1">
      <c r="A1496" s="256" t="s">
        <v>1824</v>
      </c>
      <c r="B1496" s="489">
        <v>1250</v>
      </c>
      <c r="C1496" s="1084"/>
      <c r="D1496" s="437"/>
      <c r="E1496" s="260"/>
    </row>
    <row r="1497" spans="1:5" ht="12.75" customHeight="1">
      <c r="A1497" s="256" t="s">
        <v>1825</v>
      </c>
      <c r="B1497" s="489">
        <v>1250</v>
      </c>
      <c r="C1497" s="1084"/>
      <c r="D1497" s="437"/>
      <c r="E1497" s="260"/>
    </row>
    <row r="1498" spans="1:5" ht="12.75" customHeight="1">
      <c r="A1498" s="256" t="s">
        <v>1826</v>
      </c>
      <c r="B1498" s="489">
        <v>1250</v>
      </c>
      <c r="C1498" s="1084"/>
      <c r="D1498" s="437"/>
      <c r="E1498" s="260"/>
    </row>
    <row r="1499" spans="1:5" ht="12.75" customHeight="1">
      <c r="A1499" s="256" t="s">
        <v>1827</v>
      </c>
      <c r="B1499" s="489">
        <v>1250</v>
      </c>
      <c r="C1499" s="1084"/>
      <c r="D1499" s="437"/>
      <c r="E1499" s="260"/>
    </row>
    <row r="1500" spans="1:5" ht="12.75" customHeight="1">
      <c r="A1500" s="256" t="s">
        <v>1828</v>
      </c>
      <c r="B1500" s="489">
        <v>1250</v>
      </c>
      <c r="C1500" s="1084"/>
      <c r="D1500" s="437"/>
      <c r="E1500" s="260"/>
    </row>
    <row r="1501" spans="1:5" ht="12.75" customHeight="1">
      <c r="A1501" s="256" t="s">
        <v>1829</v>
      </c>
      <c r="B1501" s="489">
        <v>1250</v>
      </c>
      <c r="C1501" s="1084"/>
      <c r="D1501" s="437"/>
      <c r="E1501" s="260"/>
    </row>
    <row r="1502" spans="1:5" ht="12.75" customHeight="1">
      <c r="A1502" s="256" t="s">
        <v>1830</v>
      </c>
      <c r="B1502" s="489">
        <v>1250</v>
      </c>
      <c r="C1502" s="1084"/>
      <c r="D1502" s="437"/>
      <c r="E1502" s="260"/>
    </row>
    <row r="1503" spans="1:5" ht="12.75" customHeight="1">
      <c r="A1503" s="256" t="s">
        <v>1831</v>
      </c>
      <c r="B1503" s="489">
        <v>1250</v>
      </c>
      <c r="C1503" s="1084"/>
      <c r="D1503" s="437"/>
      <c r="E1503" s="260"/>
    </row>
    <row r="1504" spans="1:5" ht="12.75" customHeight="1">
      <c r="A1504" s="256" t="s">
        <v>1832</v>
      </c>
      <c r="B1504" s="489">
        <v>1250</v>
      </c>
      <c r="C1504" s="1084"/>
      <c r="D1504" s="437"/>
      <c r="E1504" s="260"/>
    </row>
    <row r="1505" spans="1:5" ht="12.75" customHeight="1">
      <c r="A1505" s="256" t="s">
        <v>1833</v>
      </c>
      <c r="B1505" s="489">
        <v>1250</v>
      </c>
      <c r="C1505" s="1084"/>
      <c r="D1505" s="437"/>
      <c r="E1505" s="260"/>
    </row>
    <row r="1506" spans="1:5" ht="12.75" customHeight="1">
      <c r="A1506" s="256" t="s">
        <v>1834</v>
      </c>
      <c r="B1506" s="489">
        <v>1250</v>
      </c>
      <c r="C1506" s="1084"/>
      <c r="D1506" s="437"/>
      <c r="E1506" s="260"/>
    </row>
    <row r="1507" spans="1:5" ht="12.75" customHeight="1">
      <c r="A1507" s="256" t="s">
        <v>1835</v>
      </c>
      <c r="B1507" s="489">
        <v>1250</v>
      </c>
      <c r="C1507" s="1084"/>
      <c r="D1507" s="437"/>
      <c r="E1507" s="260"/>
    </row>
    <row r="1508" spans="1:5" ht="12.75" customHeight="1">
      <c r="A1508" s="256" t="s">
        <v>1836</v>
      </c>
      <c r="B1508" s="489">
        <v>1400</v>
      </c>
      <c r="C1508" s="1084"/>
      <c r="D1508" s="437"/>
      <c r="E1508" s="260"/>
    </row>
    <row r="1509" spans="1:5" ht="12.75" customHeight="1">
      <c r="A1509" s="256" t="s">
        <v>1837</v>
      </c>
      <c r="B1509" s="489">
        <v>1400</v>
      </c>
      <c r="C1509" s="1084"/>
      <c r="D1509" s="437"/>
      <c r="E1509" s="260"/>
    </row>
    <row r="1510" spans="1:5" ht="12.75" customHeight="1">
      <c r="A1510" s="256" t="s">
        <v>1838</v>
      </c>
      <c r="B1510" s="489">
        <v>1400</v>
      </c>
      <c r="C1510" s="1084"/>
      <c r="D1510" s="437"/>
      <c r="E1510" s="260"/>
    </row>
    <row r="1511" spans="1:5" ht="12.75" customHeight="1">
      <c r="A1511" s="256" t="s">
        <v>1839</v>
      </c>
      <c r="B1511" s="489">
        <v>1250</v>
      </c>
      <c r="C1511" s="1084"/>
      <c r="D1511" s="437"/>
      <c r="E1511" s="260"/>
    </row>
    <row r="1512" spans="1:5" ht="12.75" customHeight="1">
      <c r="A1512" s="256" t="s">
        <v>1840</v>
      </c>
      <c r="B1512" s="489">
        <v>1250</v>
      </c>
      <c r="C1512" s="1084"/>
      <c r="D1512" s="437"/>
      <c r="E1512" s="260"/>
    </row>
    <row r="1513" spans="1:5" ht="12.75" customHeight="1">
      <c r="A1513" s="256" t="s">
        <v>1841</v>
      </c>
      <c r="B1513" s="489">
        <v>1250</v>
      </c>
      <c r="C1513" s="1084"/>
      <c r="D1513" s="437"/>
      <c r="E1513" s="260"/>
    </row>
    <row r="1514" spans="1:5" ht="12.75" customHeight="1">
      <c r="A1514" s="256" t="s">
        <v>1842</v>
      </c>
      <c r="B1514" s="489">
        <v>1250</v>
      </c>
      <c r="C1514" s="1084"/>
      <c r="D1514" s="437"/>
      <c r="E1514" s="260"/>
    </row>
    <row r="1515" spans="1:5" ht="12.75" customHeight="1">
      <c r="A1515" s="256" t="s">
        <v>1843</v>
      </c>
      <c r="B1515" s="489">
        <v>1250</v>
      </c>
      <c r="C1515" s="1084"/>
      <c r="D1515" s="437"/>
      <c r="E1515" s="260"/>
    </row>
    <row r="1516" spans="1:5" ht="12.75" customHeight="1">
      <c r="A1516" s="256" t="s">
        <v>1844</v>
      </c>
      <c r="B1516" s="489">
        <v>1250</v>
      </c>
      <c r="C1516" s="1084"/>
      <c r="D1516" s="437"/>
      <c r="E1516" s="260"/>
    </row>
    <row r="1517" spans="1:5" ht="12.75" customHeight="1">
      <c r="A1517" s="256" t="s">
        <v>1845</v>
      </c>
      <c r="B1517" s="489">
        <v>1250</v>
      </c>
      <c r="C1517" s="1084"/>
      <c r="D1517" s="437"/>
      <c r="E1517" s="260"/>
    </row>
    <row r="1518" spans="1:5" ht="12.75" customHeight="1">
      <c r="A1518" s="256" t="s">
        <v>1846</v>
      </c>
      <c r="B1518" s="489">
        <v>1450</v>
      </c>
      <c r="C1518" s="1084"/>
      <c r="D1518" s="437"/>
      <c r="E1518" s="260"/>
    </row>
    <row r="1519" spans="1:5" ht="12.75" customHeight="1">
      <c r="A1519" s="256" t="s">
        <v>1847</v>
      </c>
      <c r="B1519" s="489">
        <v>1450</v>
      </c>
      <c r="C1519" s="1084"/>
      <c r="D1519" s="437"/>
      <c r="E1519" s="260"/>
    </row>
    <row r="1520" spans="1:5" ht="12.75" customHeight="1">
      <c r="A1520" s="256" t="s">
        <v>1848</v>
      </c>
      <c r="B1520" s="489">
        <v>1450</v>
      </c>
      <c r="C1520" s="1084"/>
      <c r="D1520" s="437"/>
      <c r="E1520" s="260"/>
    </row>
    <row r="1521" spans="1:5" ht="12.75" customHeight="1">
      <c r="A1521" s="256" t="s">
        <v>1849</v>
      </c>
      <c r="B1521" s="489">
        <v>1450</v>
      </c>
      <c r="C1521" s="1084"/>
      <c r="D1521" s="437"/>
      <c r="E1521" s="260"/>
    </row>
    <row r="1522" spans="1:5" ht="12.75" customHeight="1">
      <c r="A1522" s="256" t="s">
        <v>1850</v>
      </c>
      <c r="B1522" s="489">
        <v>1450</v>
      </c>
      <c r="C1522" s="1084"/>
      <c r="D1522" s="437"/>
      <c r="E1522" s="260"/>
    </row>
    <row r="1523" spans="1:5" ht="12.75" customHeight="1">
      <c r="A1523" s="256" t="s">
        <v>1851</v>
      </c>
      <c r="B1523" s="489">
        <v>1450</v>
      </c>
      <c r="C1523" s="1084"/>
      <c r="D1523" s="437"/>
      <c r="E1523" s="260"/>
    </row>
    <row r="1524" spans="1:5" ht="12.75" customHeight="1">
      <c r="A1524" s="256" t="s">
        <v>1852</v>
      </c>
      <c r="B1524" s="489">
        <v>1450</v>
      </c>
      <c r="C1524" s="1084"/>
      <c r="D1524" s="437"/>
      <c r="E1524" s="260"/>
    </row>
    <row r="1525" spans="1:5" ht="12.75" customHeight="1">
      <c r="A1525" s="256" t="s">
        <v>1853</v>
      </c>
      <c r="B1525" s="489">
        <v>1450</v>
      </c>
      <c r="C1525" s="1084"/>
      <c r="D1525" s="437"/>
      <c r="E1525" s="260"/>
    </row>
    <row r="1526" spans="1:5" ht="12.75" customHeight="1">
      <c r="A1526" s="256" t="s">
        <v>1854</v>
      </c>
      <c r="B1526" s="489">
        <v>1450</v>
      </c>
      <c r="C1526" s="1084"/>
      <c r="D1526" s="437"/>
      <c r="E1526" s="260"/>
    </row>
    <row r="1527" spans="1:5" ht="12.75" customHeight="1">
      <c r="A1527" s="256" t="s">
        <v>1855</v>
      </c>
      <c r="B1527" s="489">
        <v>1450</v>
      </c>
      <c r="C1527" s="1084"/>
      <c r="D1527" s="437"/>
      <c r="E1527" s="260"/>
    </row>
    <row r="1528" spans="1:5" ht="12.75" customHeight="1">
      <c r="A1528" s="256" t="s">
        <v>1856</v>
      </c>
      <c r="B1528" s="489">
        <v>1450</v>
      </c>
      <c r="C1528" s="1084"/>
      <c r="D1528" s="437"/>
      <c r="E1528" s="260"/>
    </row>
    <row r="1529" spans="1:5" ht="12.75" customHeight="1">
      <c r="A1529" s="256" t="s">
        <v>1857</v>
      </c>
      <c r="B1529" s="489">
        <v>1450</v>
      </c>
      <c r="C1529" s="1084"/>
      <c r="D1529" s="437"/>
      <c r="E1529" s="260"/>
    </row>
    <row r="1530" spans="1:5" ht="12.75" customHeight="1">
      <c r="A1530" s="256" t="s">
        <v>1858</v>
      </c>
      <c r="B1530" s="489">
        <v>1450</v>
      </c>
      <c r="C1530" s="1084"/>
      <c r="D1530" s="437"/>
      <c r="E1530" s="260"/>
    </row>
    <row r="1531" spans="1:5" ht="12.75" customHeight="1">
      <c r="A1531" s="256" t="s">
        <v>1859</v>
      </c>
      <c r="B1531" s="489">
        <v>1450</v>
      </c>
      <c r="C1531" s="1084"/>
      <c r="D1531" s="437"/>
      <c r="E1531" s="260"/>
    </row>
    <row r="1532" spans="1:5" ht="12.75" customHeight="1">
      <c r="A1532" s="256" t="s">
        <v>1860</v>
      </c>
      <c r="B1532" s="489">
        <v>1450</v>
      </c>
      <c r="C1532" s="1084"/>
      <c r="D1532" s="437"/>
      <c r="E1532" s="260"/>
    </row>
    <row r="1533" spans="1:5" ht="12.75" customHeight="1">
      <c r="A1533" s="256" t="s">
        <v>1861</v>
      </c>
      <c r="B1533" s="489">
        <v>1450</v>
      </c>
      <c r="C1533" s="1084"/>
      <c r="D1533" s="437"/>
      <c r="E1533" s="260"/>
    </row>
    <row r="1534" spans="1:5" ht="12.75" customHeight="1">
      <c r="A1534" s="256" t="s">
        <v>1862</v>
      </c>
      <c r="B1534" s="489">
        <v>1450</v>
      </c>
      <c r="C1534" s="1084"/>
      <c r="D1534" s="437"/>
      <c r="E1534" s="260"/>
    </row>
    <row r="1535" spans="1:5" ht="12.75" customHeight="1">
      <c r="A1535" s="256" t="s">
        <v>1863</v>
      </c>
      <c r="B1535" s="489">
        <v>500</v>
      </c>
      <c r="C1535" s="1084"/>
      <c r="D1535" s="437"/>
      <c r="E1535" s="260"/>
    </row>
    <row r="1536" spans="1:5" ht="12.75" customHeight="1">
      <c r="A1536" s="256" t="s">
        <v>1864</v>
      </c>
      <c r="B1536" s="489">
        <v>500</v>
      </c>
      <c r="C1536" s="1084"/>
      <c r="D1536" s="437"/>
      <c r="E1536" s="260"/>
    </row>
    <row r="1537" spans="1:5" ht="12.75" customHeight="1">
      <c r="A1537" s="256" t="s">
        <v>1865</v>
      </c>
      <c r="B1537" s="489">
        <v>500</v>
      </c>
      <c r="C1537" s="1084"/>
      <c r="D1537" s="437"/>
      <c r="E1537" s="260"/>
    </row>
    <row r="1538" spans="1:5" ht="12.75" customHeight="1">
      <c r="A1538" s="256" t="s">
        <v>1866</v>
      </c>
      <c r="B1538" s="489">
        <v>500</v>
      </c>
      <c r="C1538" s="1084"/>
      <c r="D1538" s="437"/>
      <c r="E1538" s="260"/>
    </row>
    <row r="1539" spans="1:5" ht="12.75" customHeight="1">
      <c r="A1539" s="256" t="s">
        <v>1867</v>
      </c>
      <c r="B1539" s="489">
        <v>500</v>
      </c>
      <c r="C1539" s="1084"/>
      <c r="D1539" s="437"/>
      <c r="E1539" s="260"/>
    </row>
    <row r="1540" spans="1:5" ht="12.75" customHeight="1">
      <c r="A1540" s="256" t="s">
        <v>1868</v>
      </c>
      <c r="B1540" s="489">
        <v>500</v>
      </c>
      <c r="C1540" s="1084"/>
      <c r="D1540" s="437"/>
      <c r="E1540" s="260"/>
    </row>
    <row r="1541" spans="1:5" ht="12.75" customHeight="1">
      <c r="A1541" s="256" t="s">
        <v>1869</v>
      </c>
      <c r="B1541" s="489">
        <v>500</v>
      </c>
      <c r="C1541" s="1084"/>
      <c r="D1541" s="437"/>
      <c r="E1541" s="260"/>
    </row>
    <row r="1542" spans="1:5" ht="12.75" customHeight="1">
      <c r="A1542" s="256" t="s">
        <v>1870</v>
      </c>
      <c r="B1542" s="489">
        <v>500</v>
      </c>
      <c r="C1542" s="1084"/>
      <c r="D1542" s="437"/>
      <c r="E1542" s="260"/>
    </row>
    <row r="1543" spans="1:5" ht="12.75" customHeight="1">
      <c r="A1543" s="256" t="s">
        <v>1871</v>
      </c>
      <c r="B1543" s="489">
        <v>500</v>
      </c>
      <c r="C1543" s="1084"/>
      <c r="D1543" s="437"/>
      <c r="E1543" s="260"/>
    </row>
    <row r="1544" spans="1:5" ht="12.75" customHeight="1">
      <c r="A1544" s="256" t="s">
        <v>1872</v>
      </c>
      <c r="B1544" s="489">
        <v>500</v>
      </c>
      <c r="C1544" s="1084"/>
      <c r="D1544" s="437"/>
      <c r="E1544" s="260"/>
    </row>
    <row r="1545" spans="1:5" ht="12.75" customHeight="1">
      <c r="A1545" s="256" t="s">
        <v>1873</v>
      </c>
      <c r="B1545" s="489">
        <v>500</v>
      </c>
      <c r="C1545" s="1084"/>
      <c r="D1545" s="437"/>
      <c r="E1545" s="260"/>
    </row>
    <row r="1546" spans="1:5" ht="12.75" customHeight="1">
      <c r="A1546" s="256" t="s">
        <v>1874</v>
      </c>
      <c r="B1546" s="489">
        <v>600</v>
      </c>
      <c r="C1546" s="1084"/>
      <c r="D1546" s="437"/>
      <c r="E1546" s="260"/>
    </row>
    <row r="1547" spans="1:5" ht="12.75" customHeight="1">
      <c r="A1547" s="256" t="s">
        <v>1875</v>
      </c>
      <c r="B1547" s="489">
        <v>600</v>
      </c>
      <c r="C1547" s="1084"/>
      <c r="D1547" s="437"/>
      <c r="E1547" s="260"/>
    </row>
    <row r="1548" spans="1:5" ht="12.75" customHeight="1">
      <c r="A1548" s="256" t="s">
        <v>1876</v>
      </c>
      <c r="B1548" s="489">
        <v>600</v>
      </c>
      <c r="C1548" s="1084"/>
      <c r="D1548" s="437"/>
      <c r="E1548" s="260"/>
    </row>
    <row r="1549" spans="1:5" ht="12.75" customHeight="1">
      <c r="A1549" s="256" t="s">
        <v>1877</v>
      </c>
      <c r="B1549" s="489">
        <v>600</v>
      </c>
      <c r="C1549" s="1084"/>
      <c r="D1549" s="437"/>
      <c r="E1549" s="260"/>
    </row>
    <row r="1550" spans="1:5" ht="12.75" customHeight="1">
      <c r="A1550" s="256" t="s">
        <v>1878</v>
      </c>
      <c r="B1550" s="489">
        <v>600</v>
      </c>
      <c r="C1550" s="1084"/>
      <c r="D1550" s="437"/>
      <c r="E1550" s="260"/>
    </row>
    <row r="1551" spans="1:5" ht="12.75" customHeight="1">
      <c r="A1551" s="256" t="s">
        <v>1879</v>
      </c>
      <c r="B1551" s="489">
        <v>600</v>
      </c>
      <c r="C1551" s="1084"/>
      <c r="D1551" s="437"/>
      <c r="E1551" s="260"/>
    </row>
    <row r="1552" spans="1:5" ht="12.75" customHeight="1">
      <c r="A1552" s="256" t="s">
        <v>1880</v>
      </c>
      <c r="B1552" s="489">
        <v>600</v>
      </c>
      <c r="C1552" s="1084"/>
      <c r="D1552" s="437"/>
      <c r="E1552" s="260"/>
    </row>
    <row r="1553" spans="1:5" ht="12.75" customHeight="1">
      <c r="A1553" s="256" t="s">
        <v>1881</v>
      </c>
      <c r="B1553" s="489">
        <v>600</v>
      </c>
      <c r="C1553" s="1084"/>
      <c r="D1553" s="437"/>
      <c r="E1553" s="260"/>
    </row>
    <row r="1554" spans="1:5" ht="12.75" customHeight="1">
      <c r="A1554" s="256" t="s">
        <v>1882</v>
      </c>
      <c r="B1554" s="489">
        <v>600</v>
      </c>
      <c r="C1554" s="1084"/>
      <c r="D1554" s="437"/>
      <c r="E1554" s="260"/>
    </row>
    <row r="1555" spans="1:5" ht="12.75" customHeight="1">
      <c r="A1555" s="256" t="s">
        <v>1883</v>
      </c>
      <c r="B1555" s="489">
        <v>600</v>
      </c>
      <c r="C1555" s="1084"/>
      <c r="D1555" s="437"/>
      <c r="E1555" s="260"/>
    </row>
    <row r="1556" spans="1:5" ht="12.75" customHeight="1">
      <c r="A1556" s="256" t="s">
        <v>1884</v>
      </c>
      <c r="B1556" s="489">
        <v>600</v>
      </c>
      <c r="C1556" s="1084"/>
      <c r="D1556" s="437"/>
      <c r="E1556" s="260"/>
    </row>
    <row r="1557" spans="1:5" ht="12.75" customHeight="1">
      <c r="A1557" s="256" t="s">
        <v>1885</v>
      </c>
      <c r="B1557" s="489">
        <v>800</v>
      </c>
      <c r="C1557" s="1084"/>
      <c r="D1557" s="437"/>
      <c r="E1557" s="260"/>
    </row>
    <row r="1558" spans="1:5" ht="12.75" customHeight="1">
      <c r="A1558" s="256" t="s">
        <v>1886</v>
      </c>
      <c r="B1558" s="489">
        <v>800</v>
      </c>
      <c r="C1558" s="1084"/>
      <c r="D1558" s="437"/>
      <c r="E1558" s="260"/>
    </row>
    <row r="1559" spans="1:5" ht="12.75" customHeight="1">
      <c r="A1559" s="256" t="s">
        <v>1887</v>
      </c>
      <c r="B1559" s="489">
        <v>800</v>
      </c>
      <c r="C1559" s="1084"/>
      <c r="D1559" s="437"/>
      <c r="E1559" s="260"/>
    </row>
    <row r="1560" spans="1:5" ht="12.75" customHeight="1">
      <c r="A1560" s="256" t="s">
        <v>1888</v>
      </c>
      <c r="B1560" s="489">
        <v>800</v>
      </c>
      <c r="C1560" s="1084"/>
      <c r="D1560" s="437"/>
      <c r="E1560" s="260"/>
    </row>
    <row r="1561" spans="1:5" ht="12.75" customHeight="1">
      <c r="A1561" s="256" t="s">
        <v>1889</v>
      </c>
      <c r="B1561" s="489">
        <v>800</v>
      </c>
      <c r="C1561" s="1084"/>
      <c r="D1561" s="437"/>
      <c r="E1561" s="260"/>
    </row>
    <row r="1562" spans="1:5" ht="12.75" customHeight="1" thickBot="1">
      <c r="A1562" s="256" t="s">
        <v>1890</v>
      </c>
      <c r="B1562" s="489">
        <v>800</v>
      </c>
      <c r="C1562" s="1085"/>
      <c r="D1562" s="437"/>
      <c r="E1562" s="260"/>
    </row>
    <row r="1563" spans="1:5" ht="12.75" customHeight="1">
      <c r="A1563" s="16"/>
      <c r="B1563" s="494"/>
      <c r="C1563" s="1081" t="s">
        <v>1788</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1753</v>
      </c>
      <c r="B1568" s="484">
        <v>140</v>
      </c>
      <c r="C1568" s="1078" t="s">
        <v>1717</v>
      </c>
      <c r="D1568" s="437"/>
      <c r="E1568" s="260"/>
    </row>
    <row r="1569" spans="1:5" ht="12.75" customHeight="1">
      <c r="A1569" s="6" t="s">
        <v>1754</v>
      </c>
      <c r="B1569" s="438">
        <v>140</v>
      </c>
      <c r="C1569" s="1079"/>
      <c r="D1569" s="437"/>
      <c r="E1569" s="260"/>
    </row>
    <row r="1570" spans="1:5" ht="12.75" customHeight="1">
      <c r="A1570" s="6" t="s">
        <v>1757</v>
      </c>
      <c r="B1570" s="438">
        <v>140</v>
      </c>
      <c r="C1570" s="1079"/>
      <c r="D1570" s="437"/>
      <c r="E1570" s="260"/>
    </row>
    <row r="1571" spans="1:5" ht="12.75" customHeight="1">
      <c r="A1571" s="6" t="s">
        <v>1758</v>
      </c>
      <c r="B1571" s="438">
        <v>140</v>
      </c>
      <c r="C1571" s="1079"/>
      <c r="D1571" s="437"/>
      <c r="E1571" s="260"/>
    </row>
    <row r="1572" spans="1:5" ht="12.75" customHeight="1">
      <c r="A1572" s="6" t="s">
        <v>1755</v>
      </c>
      <c r="B1572" s="438">
        <v>140</v>
      </c>
      <c r="C1572" s="1079"/>
      <c r="D1572" s="437"/>
      <c r="E1572" s="260"/>
    </row>
    <row r="1573" spans="1:5" ht="12.75" customHeight="1">
      <c r="A1573" s="6" t="s">
        <v>1759</v>
      </c>
      <c r="B1573" s="438">
        <v>140</v>
      </c>
      <c r="C1573" s="1079"/>
      <c r="D1573" s="437"/>
      <c r="E1573" s="260"/>
    </row>
    <row r="1574" spans="1:5" ht="12.75" customHeight="1">
      <c r="A1574" s="6" t="s">
        <v>1760</v>
      </c>
      <c r="B1574" s="438">
        <v>140</v>
      </c>
      <c r="C1574" s="1079"/>
      <c r="D1574" s="437"/>
      <c r="E1574" s="260"/>
    </row>
    <row r="1575" spans="1:5" ht="12.75" customHeight="1">
      <c r="A1575" s="6" t="s">
        <v>1756</v>
      </c>
      <c r="B1575" s="438">
        <v>140</v>
      </c>
      <c r="C1575" s="1079"/>
      <c r="D1575" s="437"/>
      <c r="E1575" s="260"/>
    </row>
    <row r="1576" spans="1:5" ht="12.75" customHeight="1">
      <c r="A1576" s="6" t="s">
        <v>1761</v>
      </c>
      <c r="B1576" s="438">
        <v>140</v>
      </c>
      <c r="C1576" s="1079"/>
      <c r="D1576" s="437"/>
      <c r="E1576" s="260"/>
    </row>
    <row r="1577" spans="1:5" ht="12.75" customHeight="1">
      <c r="A1577" s="6" t="s">
        <v>1762</v>
      </c>
      <c r="B1577" s="438">
        <v>130</v>
      </c>
      <c r="C1577" s="1079"/>
      <c r="D1577" s="437"/>
      <c r="E1577" s="260"/>
    </row>
    <row r="1578" spans="1:5" ht="12.75" customHeight="1">
      <c r="A1578" s="6" t="s">
        <v>1763</v>
      </c>
      <c r="B1578" s="438">
        <v>130</v>
      </c>
      <c r="C1578" s="1079"/>
      <c r="D1578" s="437"/>
      <c r="E1578" s="260"/>
    </row>
    <row r="1579" spans="1:5" ht="12.75" customHeight="1">
      <c r="A1579" s="6" t="s">
        <v>1764</v>
      </c>
      <c r="B1579" s="438">
        <v>130</v>
      </c>
      <c r="C1579" s="1079"/>
      <c r="D1579" s="437"/>
      <c r="E1579" s="260"/>
    </row>
    <row r="1580" spans="1:5" ht="12.75" customHeight="1">
      <c r="A1580" s="6" t="s">
        <v>1765</v>
      </c>
      <c r="B1580" s="438">
        <v>130</v>
      </c>
      <c r="C1580" s="1079"/>
      <c r="D1580" s="437"/>
      <c r="E1580" s="260"/>
    </row>
    <row r="1581" spans="1:5" ht="12.75" customHeight="1">
      <c r="A1581" s="6" t="s">
        <v>1766</v>
      </c>
      <c r="B1581" s="438">
        <v>130</v>
      </c>
      <c r="C1581" s="1079"/>
      <c r="D1581" s="437"/>
      <c r="E1581" s="260"/>
    </row>
    <row r="1582" spans="1:5" ht="12.75" customHeight="1">
      <c r="A1582" s="6" t="s">
        <v>1767</v>
      </c>
      <c r="B1582" s="438">
        <v>130</v>
      </c>
      <c r="C1582" s="1079"/>
      <c r="D1582" s="437"/>
      <c r="E1582" s="260"/>
    </row>
    <row r="1583" spans="1:5" ht="12.75" customHeight="1">
      <c r="A1583" s="6" t="s">
        <v>1768</v>
      </c>
      <c r="B1583" s="438">
        <v>130</v>
      </c>
      <c r="C1583" s="1079"/>
      <c r="D1583" s="437"/>
      <c r="E1583" s="260"/>
    </row>
    <row r="1584" spans="1:5" ht="12.75" customHeight="1">
      <c r="A1584" s="6" t="s">
        <v>1769</v>
      </c>
      <c r="B1584" s="438">
        <v>130</v>
      </c>
      <c r="C1584" s="1079"/>
      <c r="D1584" s="437"/>
      <c r="E1584" s="260"/>
    </row>
    <row r="1585" spans="1:5" ht="12.75" customHeight="1">
      <c r="A1585" s="6" t="s">
        <v>1770</v>
      </c>
      <c r="B1585" s="438">
        <v>130</v>
      </c>
      <c r="C1585" s="1079"/>
      <c r="D1585" s="437"/>
      <c r="E1585" s="260"/>
    </row>
    <row r="1586" spans="1:5" ht="12.75" customHeight="1">
      <c r="A1586" s="6" t="s">
        <v>1771</v>
      </c>
      <c r="B1586" s="438">
        <v>130</v>
      </c>
      <c r="C1586" s="1079"/>
      <c r="D1586" s="437"/>
      <c r="E1586" s="260"/>
    </row>
    <row r="1587" spans="1:5" ht="12.75" customHeight="1">
      <c r="A1587" s="6" t="s">
        <v>1772</v>
      </c>
      <c r="B1587" s="438">
        <v>130</v>
      </c>
      <c r="C1587" s="1079"/>
      <c r="D1587" s="437"/>
      <c r="E1587" s="260"/>
    </row>
    <row r="1588" spans="1:5" ht="12.75" customHeight="1">
      <c r="A1588" s="6" t="s">
        <v>1773</v>
      </c>
      <c r="B1588" s="438">
        <v>130</v>
      </c>
      <c r="C1588" s="1079"/>
      <c r="D1588" s="437"/>
      <c r="E1588" s="260"/>
    </row>
    <row r="1589" spans="1:5" ht="12.75" customHeight="1">
      <c r="A1589" s="6" t="s">
        <v>1774</v>
      </c>
      <c r="B1589" s="438">
        <v>140</v>
      </c>
      <c r="C1589" s="1079"/>
      <c r="D1589" s="437"/>
      <c r="E1589" s="260"/>
    </row>
    <row r="1590" spans="1:5" ht="12.75" customHeight="1">
      <c r="A1590" s="6" t="s">
        <v>1775</v>
      </c>
      <c r="B1590" s="438">
        <v>140</v>
      </c>
      <c r="C1590" s="1079"/>
      <c r="D1590" s="437"/>
      <c r="E1590" s="260"/>
    </row>
    <row r="1591" spans="1:5" ht="12.75" customHeight="1">
      <c r="A1591" s="6" t="s">
        <v>1777</v>
      </c>
      <c r="B1591" s="438">
        <v>140</v>
      </c>
      <c r="C1591" s="1079"/>
      <c r="D1591" s="437"/>
      <c r="E1591" s="260"/>
    </row>
    <row r="1592" spans="1:5" ht="12.75" customHeight="1">
      <c r="A1592" s="6" t="s">
        <v>1776</v>
      </c>
      <c r="B1592" s="438">
        <v>140</v>
      </c>
      <c r="C1592" s="1079"/>
      <c r="D1592" s="437"/>
      <c r="E1592" s="260"/>
    </row>
    <row r="1593" spans="1:5" ht="12.75" customHeight="1">
      <c r="A1593" s="6" t="s">
        <v>1778</v>
      </c>
      <c r="B1593" s="438">
        <v>170</v>
      </c>
      <c r="C1593" s="1079"/>
      <c r="D1593" s="437"/>
      <c r="E1593" s="260"/>
    </row>
    <row r="1594" spans="1:5" ht="12.75" customHeight="1">
      <c r="A1594" s="6" t="s">
        <v>1779</v>
      </c>
      <c r="B1594" s="438">
        <v>170</v>
      </c>
      <c r="C1594" s="1079"/>
      <c r="D1594" s="437"/>
      <c r="E1594" s="260"/>
    </row>
    <row r="1595" spans="1:5" ht="12.75" customHeight="1">
      <c r="A1595" s="6" t="s">
        <v>1780</v>
      </c>
      <c r="B1595" s="438">
        <v>170</v>
      </c>
      <c r="C1595" s="1079"/>
      <c r="D1595" s="437"/>
      <c r="E1595" s="260"/>
    </row>
    <row r="1596" spans="1:5" ht="12.75" customHeight="1">
      <c r="A1596" s="6" t="s">
        <v>1781</v>
      </c>
      <c r="B1596" s="438">
        <v>170</v>
      </c>
      <c r="C1596" s="1079"/>
      <c r="D1596" s="437"/>
      <c r="E1596" s="260"/>
    </row>
    <row r="1597" spans="1:5" ht="12.75" customHeight="1">
      <c r="A1597" s="6" t="s">
        <v>1782</v>
      </c>
      <c r="B1597" s="438">
        <v>170</v>
      </c>
      <c r="C1597" s="1079"/>
      <c r="D1597" s="437"/>
      <c r="E1597" s="260"/>
    </row>
    <row r="1598" spans="1:5" ht="12.75" customHeight="1">
      <c r="A1598" s="6" t="s">
        <v>1783</v>
      </c>
      <c r="B1598" s="438">
        <v>170</v>
      </c>
      <c r="C1598" s="1079"/>
      <c r="D1598" s="437"/>
      <c r="E1598" s="260"/>
    </row>
    <row r="1599" spans="1:5" ht="12.75" customHeight="1">
      <c r="A1599" s="6" t="s">
        <v>1784</v>
      </c>
      <c r="B1599" s="438">
        <v>170</v>
      </c>
      <c r="C1599" s="1079"/>
      <c r="D1599" s="437"/>
      <c r="E1599" s="260"/>
    </row>
    <row r="1600" spans="1:5" ht="12.75" customHeight="1">
      <c r="A1600" s="6" t="s">
        <v>1785</v>
      </c>
      <c r="B1600" s="438">
        <v>170</v>
      </c>
      <c r="C1600" s="1079"/>
      <c r="D1600" s="437"/>
      <c r="E1600" s="260"/>
    </row>
    <row r="1601" spans="1:5" ht="12.75" customHeight="1">
      <c r="A1601" s="6" t="s">
        <v>1786</v>
      </c>
      <c r="B1601" s="438">
        <v>170</v>
      </c>
      <c r="C1601" s="1079"/>
      <c r="D1601" s="437"/>
      <c r="E1601" s="260"/>
    </row>
    <row r="1602" spans="1:5" ht="12.75" customHeight="1">
      <c r="A1602" s="6" t="s">
        <v>1789</v>
      </c>
      <c r="B1602" s="438">
        <v>360</v>
      </c>
      <c r="C1602" s="1079"/>
      <c r="D1602" s="437"/>
      <c r="E1602" s="260"/>
    </row>
    <row r="1603" spans="1:5" ht="12.75" customHeight="1">
      <c r="A1603" s="6" t="s">
        <v>1790</v>
      </c>
      <c r="B1603" s="438">
        <v>240</v>
      </c>
      <c r="C1603" s="1079"/>
      <c r="D1603" s="437"/>
      <c r="E1603" s="260"/>
    </row>
    <row r="1604" spans="1:5" ht="12.75" customHeight="1">
      <c r="A1604" s="6" t="s">
        <v>1791</v>
      </c>
      <c r="B1604" s="438">
        <v>280</v>
      </c>
      <c r="C1604" s="1079"/>
      <c r="D1604" s="437"/>
      <c r="E1604" s="260"/>
    </row>
    <row r="1605" spans="1:5" ht="12.75" customHeight="1">
      <c r="A1605" s="6" t="s">
        <v>1792</v>
      </c>
      <c r="B1605" s="438">
        <v>320</v>
      </c>
      <c r="C1605" s="1079"/>
      <c r="D1605" s="437"/>
      <c r="E1605" s="260"/>
    </row>
    <row r="1606" spans="1:5" ht="12.75" customHeight="1">
      <c r="A1606" s="6" t="s">
        <v>1793</v>
      </c>
      <c r="B1606" s="438">
        <v>360</v>
      </c>
      <c r="C1606" s="1079"/>
      <c r="D1606" s="437"/>
      <c r="E1606" s="260"/>
    </row>
    <row r="1607" spans="1:5" ht="12.75" customHeight="1">
      <c r="A1607" s="6" t="s">
        <v>1794</v>
      </c>
      <c r="B1607" s="438">
        <v>240</v>
      </c>
      <c r="C1607" s="1079"/>
      <c r="D1607" s="437"/>
      <c r="E1607" s="260"/>
    </row>
    <row r="1608" spans="1:5" ht="12.75" customHeight="1">
      <c r="A1608" s="6" t="s">
        <v>1795</v>
      </c>
      <c r="B1608" s="438">
        <v>280</v>
      </c>
      <c r="C1608" s="1079"/>
      <c r="D1608" s="437"/>
      <c r="E1608" s="260"/>
    </row>
    <row r="1609" spans="1:5" ht="12.75" customHeight="1">
      <c r="A1609" s="6" t="s">
        <v>1796</v>
      </c>
      <c r="B1609" s="438">
        <v>320</v>
      </c>
      <c r="C1609" s="1079"/>
      <c r="D1609" s="437"/>
      <c r="E1609" s="260"/>
    </row>
    <row r="1610" spans="1:5" ht="12.75" customHeight="1">
      <c r="A1610" s="6" t="s">
        <v>1797</v>
      </c>
      <c r="B1610" s="438">
        <v>360</v>
      </c>
      <c r="C1610" s="1079"/>
      <c r="D1610" s="437"/>
      <c r="E1610" s="260"/>
    </row>
    <row r="1611" spans="1:5" ht="12.75" customHeight="1">
      <c r="A1611" s="6" t="s">
        <v>1798</v>
      </c>
      <c r="B1611" s="438">
        <v>210</v>
      </c>
      <c r="C1611" s="1079"/>
      <c r="D1611" s="437"/>
      <c r="E1611" s="260"/>
    </row>
    <row r="1612" spans="1:5" ht="12.75" customHeight="1">
      <c r="A1612" s="6" t="s">
        <v>1799</v>
      </c>
      <c r="B1612" s="438">
        <v>210</v>
      </c>
      <c r="C1612" s="1079"/>
      <c r="D1612" s="437"/>
      <c r="E1612" s="260"/>
    </row>
    <row r="1613" spans="1:5" ht="12.75" customHeight="1">
      <c r="A1613" s="6" t="s">
        <v>1800</v>
      </c>
      <c r="B1613" s="438">
        <v>210</v>
      </c>
      <c r="C1613" s="1079"/>
      <c r="D1613" s="437"/>
      <c r="E1613" s="260"/>
    </row>
    <row r="1614" spans="1:5" ht="12.75" customHeight="1">
      <c r="A1614" s="6" t="s">
        <v>1801</v>
      </c>
      <c r="B1614" s="438">
        <v>210</v>
      </c>
      <c r="C1614" s="1079"/>
      <c r="D1614" s="437"/>
      <c r="E1614" s="260"/>
    </row>
    <row r="1615" spans="1:5" ht="12.75" customHeight="1" thickBot="1">
      <c r="A1615" s="486" t="s">
        <v>1802</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1750</v>
      </c>
      <c r="E2" s="27" t="s">
        <v>1695</v>
      </c>
      <c r="F2" s="27" t="s">
        <v>1173</v>
      </c>
      <c r="G2" s="27" t="s">
        <v>1733</v>
      </c>
      <c r="H2" s="27" t="s">
        <v>1734</v>
      </c>
    </row>
    <row r="3" spans="1:8" ht="15.75" thickBot="1">
      <c r="A3" s="1107"/>
      <c r="B3" s="1107"/>
      <c r="C3" s="1107"/>
      <c r="D3" s="1107"/>
      <c r="E3" s="1107"/>
      <c r="F3" s="1107"/>
      <c r="G3" s="1107"/>
      <c r="H3" s="1108"/>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1735</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1736</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1737</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1738</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1747</v>
      </c>
      <c r="F17" s="26"/>
      <c r="G17" s="26"/>
      <c r="H17" s="26"/>
    </row>
    <row r="18" spans="1:8" ht="15.75" thickBot="1">
      <c r="A18" s="24" t="s">
        <v>1153</v>
      </c>
      <c r="B18" s="1103"/>
      <c r="C18" s="1102"/>
      <c r="D18" s="465" t="str">
        <f t="shared" si="0"/>
        <v>FanucX120SEW</v>
      </c>
      <c r="E18" s="21" t="s">
        <v>1747</v>
      </c>
      <c r="F18" s="21"/>
      <c r="G18" s="21"/>
      <c r="H18" s="21"/>
    </row>
    <row r="19" spans="1:8" ht="15">
      <c r="A19" s="22" t="s">
        <v>1146</v>
      </c>
      <c r="B19" s="1101" t="s">
        <v>1748</v>
      </c>
      <c r="C19" s="1102"/>
      <c r="D19" s="470" t="str">
        <f>CONCATENATE(A19,$B$19,$C$4)</f>
        <v>ABBX120 (Doppelzange)SEW</v>
      </c>
      <c r="E19" s="470" t="s">
        <v>1747</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1739</v>
      </c>
    </row>
    <row r="22" spans="1:8" ht="15">
      <c r="A22" s="22" t="s">
        <v>1146</v>
      </c>
      <c r="B22" s="1101" t="s">
        <v>1740</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1749</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1694</v>
      </c>
      <c r="D28" s="23" t="str">
        <f>CONCATENATE(A28,$B$28,$C$28)</f>
        <v>ABBC5000Tolomatic</v>
      </c>
      <c r="E28" s="22" t="s">
        <v>1741</v>
      </c>
      <c r="F28" s="23">
        <v>1500</v>
      </c>
      <c r="G28" s="23">
        <v>7560</v>
      </c>
      <c r="H28" s="22" t="s">
        <v>1696</v>
      </c>
    </row>
    <row r="29" spans="1:8" ht="15">
      <c r="A29" s="25" t="s">
        <v>1155</v>
      </c>
      <c r="B29" s="1102"/>
      <c r="C29" s="1105"/>
      <c r="D29" s="26" t="str">
        <f t="shared" ref="D29:D30" si="4">CONCATENATE(A29,$B$28,$C$28)</f>
        <v>KUKAC5000Tolomatic</v>
      </c>
      <c r="E29" s="25" t="s">
        <v>1741</v>
      </c>
      <c r="F29" s="26">
        <v>1500</v>
      </c>
      <c r="G29" s="26">
        <v>7560</v>
      </c>
      <c r="H29" s="25" t="s">
        <v>1697</v>
      </c>
    </row>
    <row r="30" spans="1:8" ht="15.75" thickBot="1">
      <c r="A30" s="24" t="s">
        <v>1153</v>
      </c>
      <c r="B30" s="1103"/>
      <c r="C30" s="1105"/>
      <c r="D30" s="21" t="str">
        <f t="shared" si="4"/>
        <v>FanucC5000Tolomatic</v>
      </c>
      <c r="E30" s="20" t="s">
        <v>1741</v>
      </c>
      <c r="F30" s="21">
        <v>1500</v>
      </c>
      <c r="G30" s="21">
        <v>7560</v>
      </c>
      <c r="H30" s="20">
        <v>28330057</v>
      </c>
    </row>
    <row r="31" spans="1:8" ht="15">
      <c r="A31" s="22" t="s">
        <v>1146</v>
      </c>
      <c r="B31" s="1101" t="s">
        <v>1150</v>
      </c>
      <c r="C31" s="1105"/>
      <c r="D31" s="470" t="str">
        <f>CONCATENATE(A31,$B$31,$C$28)</f>
        <v>ABBC8000Tolomatic</v>
      </c>
      <c r="E31" s="488" t="s">
        <v>1742</v>
      </c>
      <c r="F31" s="23">
        <v>1500</v>
      </c>
      <c r="G31" s="23">
        <v>11100</v>
      </c>
      <c r="H31" s="22">
        <v>28330079</v>
      </c>
    </row>
    <row r="32" spans="1:8" ht="15">
      <c r="A32" s="25" t="s">
        <v>1155</v>
      </c>
      <c r="B32" s="1102"/>
      <c r="C32" s="1105"/>
      <c r="D32" s="26" t="str">
        <f t="shared" ref="D32:D33" si="5">CONCATENATE(A32,$B$31,$C$28)</f>
        <v>KUKAC8000Tolomatic</v>
      </c>
      <c r="E32" s="466" t="s">
        <v>1742</v>
      </c>
      <c r="F32" s="26">
        <v>1500</v>
      </c>
      <c r="G32" s="26">
        <v>11100</v>
      </c>
      <c r="H32" s="25" t="s">
        <v>1743</v>
      </c>
    </row>
    <row r="33" spans="1:8" ht="15.75" thickBot="1">
      <c r="A33" s="24" t="s">
        <v>1153</v>
      </c>
      <c r="B33" s="1103"/>
      <c r="C33" s="1105"/>
      <c r="D33" s="21" t="str">
        <f t="shared" si="5"/>
        <v>FanucC8000Tolomatic</v>
      </c>
      <c r="E33" s="487" t="s">
        <v>1742</v>
      </c>
      <c r="F33" s="275">
        <v>1500</v>
      </c>
      <c r="G33" s="275">
        <v>11100</v>
      </c>
      <c r="H33" s="24">
        <v>28330081</v>
      </c>
    </row>
    <row r="34" spans="1:8" ht="15">
      <c r="A34" s="22" t="s">
        <v>1146</v>
      </c>
      <c r="B34" s="1101" t="s">
        <v>1166</v>
      </c>
      <c r="C34" s="1105"/>
      <c r="D34" s="470" t="str">
        <f>CONCATENATE(A34,$B$34,$C$28)</f>
        <v>ABBC8000 TunnelTolomatic</v>
      </c>
      <c r="E34" s="22" t="s">
        <v>1742</v>
      </c>
      <c r="F34" s="23">
        <v>1500</v>
      </c>
      <c r="G34" s="23">
        <v>11100</v>
      </c>
      <c r="H34" s="22">
        <v>28330034</v>
      </c>
    </row>
    <row r="35" spans="1:8" ht="15">
      <c r="A35" s="25" t="s">
        <v>1155</v>
      </c>
      <c r="B35" s="1102"/>
      <c r="C35" s="1105"/>
      <c r="D35" s="26" t="str">
        <f t="shared" ref="D35:D36" si="6">CONCATENATE(A35,$B$34,$C$28)</f>
        <v>KUKAC8000 TunnelTolomatic</v>
      </c>
      <c r="E35" s="25" t="s">
        <v>1742</v>
      </c>
      <c r="F35" s="26">
        <v>1500</v>
      </c>
      <c r="G35" s="26">
        <v>11100</v>
      </c>
      <c r="H35" s="25">
        <v>28330051</v>
      </c>
    </row>
    <row r="36" spans="1:8" ht="15.75" thickBot="1">
      <c r="A36" s="24" t="s">
        <v>1153</v>
      </c>
      <c r="B36" s="1103"/>
      <c r="C36" s="1105"/>
      <c r="D36" s="21" t="str">
        <f t="shared" si="6"/>
        <v>FanucC8000 TunnelTolomatic</v>
      </c>
      <c r="E36" s="20" t="s">
        <v>1742</v>
      </c>
      <c r="F36" s="21">
        <v>1500</v>
      </c>
      <c r="G36" s="275">
        <v>11100</v>
      </c>
      <c r="H36" s="20">
        <v>28330085</v>
      </c>
    </row>
    <row r="37" spans="1:8" ht="15">
      <c r="A37" s="22" t="s">
        <v>1146</v>
      </c>
      <c r="B37" s="1101" t="s">
        <v>1162</v>
      </c>
      <c r="C37" s="1105"/>
      <c r="D37" s="470" t="str">
        <f>CONCATENATE(A37,$B$37,$C$28)</f>
        <v>ABBX100Tolomatic</v>
      </c>
      <c r="E37" s="22" t="s">
        <v>1744</v>
      </c>
      <c r="F37" s="23">
        <v>2000</v>
      </c>
      <c r="G37" s="23">
        <v>14680</v>
      </c>
      <c r="H37" s="22">
        <v>28440187</v>
      </c>
    </row>
    <row r="38" spans="1:8" ht="15">
      <c r="A38" s="25" t="s">
        <v>1155</v>
      </c>
      <c r="B38" s="1102"/>
      <c r="C38" s="1105"/>
      <c r="D38" s="26" t="str">
        <f t="shared" ref="D38:D39" si="7">CONCATENATE(A38,$B$37,$C$28)</f>
        <v>KUKAX100Tolomatic</v>
      </c>
      <c r="E38" s="25" t="s">
        <v>1744</v>
      </c>
      <c r="F38" s="26">
        <v>2000</v>
      </c>
      <c r="G38" s="26">
        <v>14680</v>
      </c>
      <c r="H38" s="25">
        <v>28440189</v>
      </c>
    </row>
    <row r="39" spans="1:8" ht="15.75" thickBot="1">
      <c r="A39" s="24" t="s">
        <v>1153</v>
      </c>
      <c r="B39" s="1103"/>
      <c r="C39" s="1105"/>
      <c r="D39" s="21" t="str">
        <f t="shared" si="7"/>
        <v>FanucX100Tolomatic</v>
      </c>
      <c r="E39" s="20" t="s">
        <v>1744</v>
      </c>
      <c r="F39" s="21">
        <v>2000</v>
      </c>
      <c r="G39" s="21">
        <v>14680</v>
      </c>
      <c r="H39" s="20">
        <v>28440188</v>
      </c>
    </row>
    <row r="40" spans="1:8" ht="15">
      <c r="A40" s="22" t="s">
        <v>1146</v>
      </c>
      <c r="B40" s="1101" t="s">
        <v>1740</v>
      </c>
      <c r="C40" s="1105"/>
      <c r="D40" s="470" t="str">
        <f>CONCATENATE(A40,$B$40,$C$28)</f>
        <v>ABBX125Tolomatic</v>
      </c>
      <c r="E40" s="22" t="s">
        <v>1745</v>
      </c>
      <c r="F40" s="23">
        <v>2500</v>
      </c>
      <c r="G40" s="23">
        <v>24000</v>
      </c>
      <c r="H40" s="23">
        <v>28440192</v>
      </c>
    </row>
    <row r="41" spans="1:8" ht="15">
      <c r="A41" s="466" t="s">
        <v>1155</v>
      </c>
      <c r="B41" s="1102"/>
      <c r="C41" s="1105"/>
      <c r="D41" s="26" t="str">
        <f t="shared" ref="D41:D42" si="8">CONCATENATE(A41,$B$40,$C$28)</f>
        <v>KUKAX125Tolomatic</v>
      </c>
      <c r="E41" s="25" t="s">
        <v>1745</v>
      </c>
      <c r="F41" s="26">
        <v>2500</v>
      </c>
      <c r="G41" s="26">
        <v>24000</v>
      </c>
      <c r="H41" s="26">
        <v>28440191</v>
      </c>
    </row>
    <row r="42" spans="1:8" ht="15.75" thickBot="1">
      <c r="A42" s="20" t="s">
        <v>1153</v>
      </c>
      <c r="B42" s="1103"/>
      <c r="C42" s="1105"/>
      <c r="D42" s="21" t="str">
        <f t="shared" si="8"/>
        <v>FanucX125Tolomatic</v>
      </c>
      <c r="E42" s="20" t="s">
        <v>1745</v>
      </c>
      <c r="F42" s="21">
        <v>2500</v>
      </c>
      <c r="G42" s="21">
        <v>24000</v>
      </c>
      <c r="H42" s="24">
        <v>28440190</v>
      </c>
    </row>
    <row r="43" spans="1:8" ht="15">
      <c r="A43" s="22" t="s">
        <v>1146</v>
      </c>
      <c r="B43" s="1101" t="s">
        <v>1749</v>
      </c>
      <c r="C43" s="1105"/>
      <c r="D43" s="470" t="str">
        <f>CONCATENATE(A43,$B$43,$C$28)</f>
        <v>ABBX125 (Doppelzange)Tolomatic</v>
      </c>
      <c r="E43" s="22" t="s">
        <v>1746</v>
      </c>
      <c r="F43" s="23">
        <v>2500</v>
      </c>
      <c r="G43" s="23">
        <v>24000</v>
      </c>
      <c r="H43" s="23">
        <v>28440213</v>
      </c>
    </row>
    <row r="44" spans="1:8" ht="15">
      <c r="A44" s="466" t="s">
        <v>1155</v>
      </c>
      <c r="B44" s="1102"/>
      <c r="C44" s="1105"/>
      <c r="D44" s="26" t="str">
        <f t="shared" ref="D44:D45" si="9">CONCATENATE(A44,$B$43,$C$28)</f>
        <v>KUKAX125 (Doppelzange)Tolomatic</v>
      </c>
      <c r="E44" s="25" t="s">
        <v>1746</v>
      </c>
      <c r="F44" s="26">
        <v>2500</v>
      </c>
      <c r="G44" s="26">
        <v>24000</v>
      </c>
      <c r="H44" s="26">
        <v>28440212</v>
      </c>
    </row>
    <row r="45" spans="1:8" ht="15.75" thickBot="1">
      <c r="A45" s="20" t="s">
        <v>1153</v>
      </c>
      <c r="B45" s="1103"/>
      <c r="C45" s="1106"/>
      <c r="D45" s="21" t="str">
        <f t="shared" si="9"/>
        <v>FanucX125 (Doppelzange)Tolomatic</v>
      </c>
      <c r="E45" s="20" t="s">
        <v>1746</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1694</v>
      </c>
    </row>
    <row r="52" spans="1:3" hidden="1">
      <c r="A52" s="467" t="s">
        <v>1153</v>
      </c>
      <c r="B52" s="271" t="s">
        <v>1166</v>
      </c>
    </row>
    <row r="53" spans="1:3" hidden="1">
      <c r="B53" s="271" t="s">
        <v>1162</v>
      </c>
    </row>
    <row r="54" spans="1:3" hidden="1">
      <c r="B54" s="271" t="s">
        <v>1158</v>
      </c>
    </row>
    <row r="55" spans="1:3" hidden="1">
      <c r="B55" s="270" t="s">
        <v>1748</v>
      </c>
    </row>
    <row r="56" spans="1:3" hidden="1">
      <c r="B56" s="271" t="s">
        <v>1740</v>
      </c>
    </row>
    <row r="57" spans="1:3" hidden="1">
      <c r="B57" s="270" t="s">
        <v>1749</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1687</v>
      </c>
    </row>
    <row r="56" spans="1:1">
      <c r="A56" s="29" t="s">
        <v>1674</v>
      </c>
    </row>
    <row r="57" spans="1:1">
      <c r="A57" s="29" t="s">
        <v>1303</v>
      </c>
    </row>
    <row r="58" spans="1:1">
      <c r="A58" s="29" t="s">
        <v>1304</v>
      </c>
    </row>
    <row r="59" spans="1:1">
      <c r="A59" s="29" t="s">
        <v>1305</v>
      </c>
    </row>
    <row r="60" spans="1:1">
      <c r="A60" s="29" t="s">
        <v>1306</v>
      </c>
    </row>
    <row r="61" spans="1:1">
      <c r="A61" s="29" t="s">
        <v>1686</v>
      </c>
    </row>
    <row r="62" spans="1:1" ht="25.5">
      <c r="A62" s="257" t="s">
        <v>1668</v>
      </c>
    </row>
    <row r="63" spans="1:1">
      <c r="A63" s="29" t="s">
        <v>1675</v>
      </c>
    </row>
    <row r="65" spans="1:1">
      <c r="A65" s="30" t="s">
        <v>1688</v>
      </c>
    </row>
    <row r="66" spans="1:1">
      <c r="A66" s="257" t="s">
        <v>1689</v>
      </c>
    </row>
    <row r="67" spans="1:1">
      <c r="A67" s="29" t="s">
        <v>1690</v>
      </c>
    </row>
    <row r="68" spans="1:1">
      <c r="A68" s="29" t="s">
        <v>1692</v>
      </c>
    </row>
    <row r="69" spans="1:1">
      <c r="A69" s="29" t="s">
        <v>1693</v>
      </c>
    </row>
    <row r="71" spans="1:1">
      <c r="A71" s="30" t="s">
        <v>1698</v>
      </c>
    </row>
    <row r="72" spans="1:1">
      <c r="A72" s="29" t="s">
        <v>1699</v>
      </c>
    </row>
    <row r="73" spans="1:1">
      <c r="A73" s="29" t="s">
        <v>1702</v>
      </c>
    </row>
    <row r="74" spans="1:1">
      <c r="A74" s="29" t="s">
        <v>1700</v>
      </c>
    </row>
    <row r="75" spans="1:1">
      <c r="A75" s="29" t="s">
        <v>1701</v>
      </c>
    </row>
    <row r="76" spans="1:1">
      <c r="A76" s="29" t="s">
        <v>1707</v>
      </c>
    </row>
    <row r="77" spans="1:1">
      <c r="A77" s="29" t="s">
        <v>1708</v>
      </c>
    </row>
    <row r="79" spans="1:1">
      <c r="A79" s="30" t="s">
        <v>1710</v>
      </c>
    </row>
    <row r="81" spans="1:1">
      <c r="A81" s="29" t="s">
        <v>1711</v>
      </c>
    </row>
    <row r="82" spans="1:1">
      <c r="A82" t="s">
        <v>1712</v>
      </c>
    </row>
    <row r="83" spans="1:1">
      <c r="A83" s="29" t="s">
        <v>1713</v>
      </c>
    </row>
    <row r="85" spans="1:1">
      <c r="A85" s="30" t="s">
        <v>1892</v>
      </c>
    </row>
    <row r="87" spans="1:1">
      <c r="A87" t="s">
        <v>1893</v>
      </c>
    </row>
    <row r="89" spans="1:1">
      <c r="A89" s="30" t="s">
        <v>1897</v>
      </c>
    </row>
    <row r="91" spans="1:1">
      <c r="A91" s="29" t="s">
        <v>1727</v>
      </c>
    </row>
    <row r="92" spans="1:1">
      <c r="A92" s="29" t="s">
        <v>1803</v>
      </c>
    </row>
    <row r="93" spans="1:1">
      <c r="A93" s="29" t="s">
        <v>1722</v>
      </c>
    </row>
    <row r="94" spans="1:1">
      <c r="A94" s="29" t="s">
        <v>1804</v>
      </c>
    </row>
    <row r="95" spans="1:1">
      <c r="A95" s="29" t="s">
        <v>1728</v>
      </c>
    </row>
    <row r="96" spans="1:1">
      <c r="A96" s="29" t="s">
        <v>1729</v>
      </c>
    </row>
    <row r="97" spans="1:1">
      <c r="A97" s="29" t="s">
        <v>1730</v>
      </c>
    </row>
    <row r="98" spans="1:1">
      <c r="A98" t="s">
        <v>1721</v>
      </c>
    </row>
    <row r="99" spans="1:1">
      <c r="A99" t="s">
        <v>1891</v>
      </c>
    </row>
    <row r="100" spans="1:1">
      <c r="A100" s="29" t="s">
        <v>1895</v>
      </c>
    </row>
    <row r="101" spans="1:1">
      <c r="A101" s="29" t="s">
        <v>1896</v>
      </c>
    </row>
    <row r="103" spans="1:1">
      <c r="A103" s="30" t="s">
        <v>1898</v>
      </c>
    </row>
    <row r="105" spans="1:1">
      <c r="A105" t="s">
        <v>1899</v>
      </c>
    </row>
    <row r="106" spans="1:1">
      <c r="A106" t="s">
        <v>1900</v>
      </c>
    </row>
    <row r="107" spans="1:1">
      <c r="A107" t="s">
        <v>1901</v>
      </c>
    </row>
    <row r="109" spans="1:1">
      <c r="A109" s="30" t="s">
        <v>1902</v>
      </c>
    </row>
    <row r="111" spans="1:1">
      <c r="A111" t="s">
        <v>1903</v>
      </c>
    </row>
    <row r="113" spans="1:1">
      <c r="A113" s="30" t="s">
        <v>1904</v>
      </c>
    </row>
    <row r="114" spans="1:1">
      <c r="A114" s="29" t="s">
        <v>1905</v>
      </c>
    </row>
    <row r="116" spans="1:1">
      <c r="A116" s="30" t="s">
        <v>1907</v>
      </c>
    </row>
    <row r="117" spans="1:1">
      <c r="A117" s="29" t="s">
        <v>1909</v>
      </c>
    </row>
    <row r="118" spans="1:1">
      <c r="A118" s="29" t="s">
        <v>1908</v>
      </c>
    </row>
    <row r="119" spans="1:1">
      <c r="A119" s="29" t="s">
        <v>1916</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Blatt_1_1130R01</vt:lpstr>
      <vt:lpstr>Punktplan LTVR_1_1130R01</vt:lpstr>
      <vt:lpstr>Materialliste</vt:lpstr>
      <vt:lpstr>Motordaten</vt:lpstr>
      <vt:lpstr>Hinweise (Notes)</vt:lpstr>
      <vt:lpstr>Änderungshistorie</vt:lpstr>
      <vt:lpstr>'Blatt 0'!Area_de_impressao</vt:lpstr>
      <vt:lpstr>Blatt_1_1130R01!Area_de_impressao</vt:lpstr>
      <vt:lpstr>'Punktplan LTVR_1_1130R01'!Area_de_impressao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2023-06-21T13:33:19Z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