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bookViews>
    <workbookView xWindow="0" yWindow="0" windowWidth="28800" windowHeight="12435" tabRatio="798" activeTab="3"/>
  </bookViews>
  <sheets>
    <sheet name="Blatt 0" sheetId="1" r:id="rId1"/>
    <sheet name="Blatt_1_1180R01" sheetId="38" r:id="rId2"/>
    <sheet name="Blatt_2_1180R01" sheetId="39" r:id="rId3"/>
    <sheet name="Punktplan LTVR_1_1180R01" sheetId="14" r:id="rId4"/>
    <sheet name="Materialliste" sheetId="21" r:id="rId5"/>
    <sheet name="Motordaten" sheetId="25" r:id="rId6"/>
    <sheet name="Hinweise (Notes)" sheetId="19" r:id="rId7"/>
    <sheet name="Änderungshistorie" sheetId="30" r:id="rId8"/>
  </sheets>
  <definedNames>
    <definedName name="_xlnm._FilterDatabase" localSheetId="3" hidden="1">'Punktplan LTVR_1_1180R01'!$M$19:$M$32</definedName>
    <definedName name="_xlnm.Print_Area" localSheetId="0">'Blatt 0'!$A$1:$AK$60</definedName>
    <definedName name="_xlnm.Print_Area" localSheetId="1">Blatt_1_1180R01!$A$1:$AK$60</definedName>
    <definedName name="_xlnm.Print_Area" localSheetId="2">Blatt_2_1180R01!$A$1:$AK$60</definedName>
    <definedName name="_xlnm.Print_Area" localSheetId="3">'Punktplan LTVR_1_1180R01'!$A$1:$BB$58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9" l="1"/>
  <c r="X59" i="39"/>
  <c r="O59" i="39"/>
  <c r="B59" i="39"/>
  <c r="AF58" i="39"/>
  <c r="AA57" i="39"/>
  <c r="X57" i="39"/>
  <c r="O57" i="39"/>
  <c r="AB55" i="39"/>
  <c r="X55" i="39"/>
  <c r="AB54" i="39"/>
  <c r="AH53" i="39"/>
  <c r="AA59" i="38"/>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9" s="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Z33" i="14"/>
  <c r="AD33" i="14" s="1"/>
  <c r="Z34" i="14"/>
  <c r="AD34" i="14" s="1"/>
  <c r="Z36" i="14"/>
  <c r="AD36" i="14" s="1"/>
  <c r="Z38" i="14"/>
  <c r="AD38" i="14" s="1"/>
  <c r="Z41" i="14"/>
  <c r="AD41" i="14" s="1"/>
  <c r="Z42" i="14"/>
  <c r="AD42" i="14" s="1"/>
  <c r="Z43" i="14"/>
  <c r="AD43" i="14" s="1"/>
  <c r="AA22" i="14"/>
  <c r="AA42" i="14"/>
  <c r="AA19" i="14"/>
  <c r="AA35" i="14"/>
  <c r="AA30" i="14"/>
  <c r="AB30" i="14" s="1"/>
  <c r="CH30" i="14" s="1"/>
  <c r="AA28" i="14"/>
  <c r="AA43" i="14"/>
  <c r="AA40" i="14"/>
  <c r="AA29" i="14"/>
  <c r="AB29" i="14" s="1"/>
  <c r="CH29" i="14" s="1"/>
  <c r="AA23" i="14"/>
  <c r="AA37" i="14"/>
  <c r="AA33" i="14"/>
  <c r="AA31" i="14"/>
  <c r="AB31" i="14" s="1"/>
  <c r="CH31" i="14" s="1"/>
  <c r="AA41" i="14"/>
  <c r="AA38" i="14"/>
  <c r="AA36" i="14"/>
  <c r="AA34" i="14"/>
  <c r="AA32" i="14"/>
  <c r="AA27" i="14"/>
  <c r="AB27" i="14" s="1"/>
  <c r="CH27" i="14" s="1"/>
  <c r="AA24" i="14"/>
  <c r="AA26" i="14"/>
  <c r="AB26" i="14" s="1"/>
  <c r="CH26" i="14" s="1"/>
  <c r="AA21" i="14"/>
  <c r="AA25" i="14"/>
  <c r="Z23" i="14"/>
  <c r="Z20" i="14"/>
  <c r="Z25" i="14"/>
  <c r="Z26" i="14"/>
  <c r="Z29" i="14"/>
  <c r="Z31" i="14"/>
  <c r="Z32" i="14"/>
  <c r="AD32" i="14" s="1"/>
  <c r="Z35" i="14"/>
  <c r="AD35" i="14" s="1"/>
  <c r="Z37" i="14"/>
  <c r="AD37" i="14" s="1"/>
  <c r="Z39" i="14"/>
  <c r="AD39" i="14" s="1"/>
  <c r="Z19" i="14"/>
  <c r="AI30" i="14" l="1"/>
  <c r="AK30" i="14"/>
  <c r="AI31" i="14"/>
  <c r="AK31" i="14"/>
  <c r="AC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AE29" i="14" s="1"/>
  <c r="CL29" i="14" s="1"/>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2" i="14" l="1"/>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<sst xmlns="http://schemas.openxmlformats.org/spreadsheetml/2006/main" count="2282" uniqueCount="1953">
  <si>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</si>
  <si>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</si>
  <si>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</si>
  <si>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</si>
  <si>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</si>
  <si>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</si>
  <si>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</si>
  <si>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</si>
  <si>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</si>
  <si>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</si>
  <si>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</si>
  <si>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</si>
  <si>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</si>
  <si>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</si>
  <si>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</si>
  <si>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</si>
  <si>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</si>
  <si>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</si>
  <si>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</si>
  <si>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</si>
  <si>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</si>
  <si>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</si>
  <si>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</si>
  <si>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</si>
  <si>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</si>
  <si>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</si>
  <si>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</si>
  <si>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</si>
  <si>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</si>
  <si>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</si>
  <si>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</si>
  <si>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</si>
  <si>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</si>
  <si>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</si>
  <si>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</si>
  <si>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</si>
  <si>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</si>
  <si>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</si>
  <si>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</si>
  <si>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</si>
  <si>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</si>
  <si>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</si>
  <si>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</si>
  <si>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</si>
  <si>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</si>
  <si>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</si>
  <si>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</si>
  <si>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</si>
  <si>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</si>
  <si>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</si>
  <si>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</si>
  <si>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</si>
  <si>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</si>
  <si>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</si>
  <si>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</si>
  <si>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</si>
  <si>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</si>
  <si>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</si>
  <si>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</si>
  <si>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</si>
  <si>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</si>
  <si>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</si>
  <si>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</si>
  <si>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</si>
  <si>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</si>
  <si>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</si>
  <si>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</si>
  <si>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</si>
  <si>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</si>
  <si>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</si>
  <si>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</si>
  <si>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</si>
  <si>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</si>
  <si>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</si>
  <si>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</si>
  <si>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</si>
  <si>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</si>
  <si>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</si>
  <si>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</si>
  <si>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</si>
  <si>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</si>
  <si>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</si>
  <si>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</si>
  <si>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</si>
  <si>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</si>
  <si>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</si>
  <si>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</si>
  <si>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</si>
  <si>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</si>
  <si>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</si>
  <si>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</si>
  <si>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</si>
  <si>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</si>
  <si>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</si>
  <si>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</si>
  <si>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</si>
  <si>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</si>
  <si>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</si>
  <si>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</si>
  <si>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</si>
  <si>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</si>
  <si>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</si>
  <si>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</si>
  <si>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</si>
  <si>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</si>
  <si>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</si>
  <si>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</si>
  <si>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</si>
  <si>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</si>
  <si>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</si>
  <si>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</si>
  <si>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</si>
  <si>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</si>
  <si>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</si>
  <si>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</si>
  <si>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</si>
  <si>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</si>
  <si>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</si>
  <si>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</si>
  <si>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</si>
  <si>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</si>
  <si>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</si>
  <si>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</si>
  <si>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</si>
  <si>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</si>
  <si>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</si>
  <si>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</si>
  <si>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</si>
  <si>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</si>
  <si>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</si>
  <si>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</si>
  <si>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</si>
  <si>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</si>
  <si>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</si>
  <si>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</si>
  <si>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</si>
  <si>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</si>
  <si>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</si>
  <si>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</si>
  <si>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</si>
  <si>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</si>
  <si>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</si>
  <si>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</si>
  <si>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</si>
  <si>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</si>
  <si>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</si>
  <si>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</si>
  <si>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</si>
  <si>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</si>
  <si>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</si>
  <si>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</si>
  <si>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</si>
  <si>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</si>
  <si>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</si>
  <si>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</si>
  <si>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</si>
  <si>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</si>
  <si>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</si>
  <si>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</si>
  <si>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</si>
  <si>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</si>
  <si>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</si>
  <si>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</si>
  <si>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</si>
  <si>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</si>
  <si>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</si>
  <si>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</si>
  <si>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</si>
  <si>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</si>
  <si>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</si>
  <si>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</si>
  <si>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</si>
  <si>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</si>
  <si>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</si>
  <si>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</si>
  <si>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</si>
  <si>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</si>
  <si>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</si>
  <si>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</si>
  <si>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</si>
  <si>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</si>
  <si>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</si>
  <si>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</si>
  <si>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</si>
  <si>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</si>
  <si>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</si>
  <si>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</si>
  <si>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</si>
  <si>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</si>
  <si>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</si>
  <si>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</si>
  <si>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</si>
  <si>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</si>
  <si>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</si>
  <si>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</si>
  <si>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</si>
  <si>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</si>
  <si>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</si>
  <si>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</si>
  <si>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</si>
  <si>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</si>
  <si>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</si>
  <si>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</si>
  <si>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</si>
  <si>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</si>
  <si>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</si>
  <si>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</si>
  <si>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</si>
  <si>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</si>
  <si>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</si>
  <si>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</si>
  <si>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</si>
  <si>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</si>
  <si>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</si>
  <si>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</si>
  <si>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</si>
  <si>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</si>
  <si>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</si>
  <si>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</si>
  <si>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</si>
  <si>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</si>
  <si>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</si>
  <si>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</si>
  <si>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</si>
  <si>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</si>
  <si>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</si>
  <si>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</si>
  <si>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</si>
  <si>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</si>
  <si>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</si>
  <si>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</si>
  <si>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</si>
  <si>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</si>
  <si>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</si>
  <si>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</si>
  <si>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</si>
  <si>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</si>
  <si>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</si>
  <si>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</si>
  <si>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</si>
  <si>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</si>
  <si>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</si>
  <si>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</si>
  <si>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</si>
  <si>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</si>
  <si>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</si>
  <si>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</si>
  <si>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</si>
  <si>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</si>
  <si>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</si>
  <si>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</si>
  <si>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</si>
  <si>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</si>
  <si>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</si>
  <si>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</si>
  <si>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</si>
  <si>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</si>
  <si>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</si>
  <si>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</si>
  <si>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</si>
  <si>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</si>
  <si>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</si>
  <si>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</si>
  <si>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</si>
  <si>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</si>
  <si>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</si>
  <si>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</si>
  <si>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</si>
  <si>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</si>
  <si>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</si>
  <si>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</si>
  <si>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</si>
  <si>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</si>
  <si>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</si>
  <si>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</si>
  <si>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</si>
  <si>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</si>
  <si>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</si>
  <si>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</si>
  <si>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</si>
  <si>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</si>
  <si>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</si>
  <si>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</si>
  <si>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</si>
  <si>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</si>
  <si>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</si>
  <si>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</si>
  <si>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</si>
  <si>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</si>
  <si>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</si>
  <si>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</si>
  <si>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</si>
  <si>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</si>
  <si>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</si>
  <si>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</si>
  <si>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</si>
  <si>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</si>
  <si>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</si>
  <si>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</si>
  <si>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</si>
  <si>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</si>
  <si>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</si>
  <si>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</si>
  <si>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</si>
  <si>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</si>
  <si>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</si>
  <si>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</si>
  <si>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</si>
  <si>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</si>
  <si>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</si>
  <si>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</si>
  <si>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</si>
  <si>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</si>
  <si>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</si>
  <si>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</si>
  <si>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</si>
  <si>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</si>
  <si>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</si>
  <si>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</si>
  <si>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</si>
  <si>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</si>
  <si>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</si>
  <si>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</si>
  <si>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</si>
  <si>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</si>
  <si>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</si>
  <si>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</si>
  <si>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</si>
  <si>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</si>
  <si>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</si>
  <si>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</si>
  <si>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</si>
  <si>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</si>
  <si>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</si>
  <si>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</si>
  <si>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</si>
  <si>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</si>
  <si>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</si>
  <si>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</si>
  <si>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</si>
  <si>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</si>
  <si>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</si>
  <si>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</si>
  <si>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</si>
  <si>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</si>
  <si>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</si>
  <si>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</si>
  <si>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</si>
  <si>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</si>
  <si>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</si>
  <si>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</si>
  <si>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</si>
  <si>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</si>
  <si>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</si>
  <si>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</si>
  <si>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</si>
  <si>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</si>
  <si>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</si>
  <si>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</si>
  <si>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</si>
  <si>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</si>
  <si>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</si>
  <si>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</si>
  <si>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</si>
  <si>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</si>
  <si>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</si>
  <si>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</si>
  <si>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</si>
  <si>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</si>
  <si>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</si>
  <si>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</si>
  <si>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</si>
  <si>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</si>
  <si>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</si>
  <si>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</si>
  <si>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</si>
  <si>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</si>
  <si>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</si>
  <si>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</si>
  <si>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</si>
  <si>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</si>
  <si>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</si>
  <si>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</si>
  <si>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</si>
  <si>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</si>
  <si>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</si>
  <si>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</si>
  <si>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</si>
  <si>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</si>
  <si>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</si>
  <si>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</si>
  <si>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</si>
  <si>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</si>
  <si>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</si>
  <si>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</si>
  <si>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</si>
  <si>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</si>
  <si>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</si>
  <si>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</si>
  <si>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</si>
  <si>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</si>
  <si>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</si>
  <si>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</si>
  <si>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</si>
  <si>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</si>
  <si>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</si>
  <si>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</si>
  <si>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</si>
  <si>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</si>
  <si>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</si>
  <si>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</si>
  <si>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</si>
  <si>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</si>
  <si>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</si>
  <si>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</si>
  <si>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</si>
  <si>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</si>
  <si>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</si>
  <si>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</si>
  <si>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</si>
  <si>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</si>
  <si>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</si>
  <si>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</si>
  <si>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</si>
  <si>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</si>
  <si>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</si>
  <si>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</si>
  <si>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</si>
  <si>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</si>
  <si>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</si>
  <si>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</si>
  <si>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</si>
  <si>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</si>
  <si>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</si>
  <si>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</si>
  <si>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</si>
  <si>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</si>
  <si>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</si>
  <si>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</si>
  <si>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</si>
  <si>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</si>
  <si>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</si>
  <si>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</si>
  <si>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</si>
  <si>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</si>
  <si>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</si>
  <si>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</si>
  <si>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</si>
  <si>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</si>
  <si>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</si>
  <si>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</si>
  <si>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</si>
  <si>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</si>
  <si>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</si>
  <si>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</si>
  <si>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</si>
  <si>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</si>
  <si>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</si>
  <si>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</si>
  <si>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</si>
  <si>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</si>
  <si>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</si>
  <si>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</si>
  <si>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</si>
  <si>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</si>
  <si>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</si>
  <si>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</si>
  <si>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</si>
  <si>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</si>
  <si>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</si>
  <si>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</si>
  <si>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</si>
  <si>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</si>
  <si>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</si>
  <si>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</si>
  <si>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</si>
  <si>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</si>
  <si>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</si>
  <si>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</si>
  <si>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</si>
  <si>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</si>
  <si>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</si>
  <si>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</si>
  <si>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</si>
  <si>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</si>
  <si>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</si>
  <si>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</si>
  <si>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</si>
  <si>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</si>
  <si>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</si>
  <si>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</si>
  <si>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</si>
  <si>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</si>
  <si>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</si>
  <si>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</si>
  <si>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</si>
  <si>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</si>
  <si>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</si>
  <si>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</si>
  <si>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</si>
  <si>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</si>
  <si>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</si>
  <si>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</si>
  <si>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</si>
  <si>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</si>
  <si>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</si>
  <si>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</si>
  <si>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</si>
  <si>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</si>
  <si>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</si>
  <si>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</si>
  <si>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</si>
  <si>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</si>
  <si>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</si>
  <si>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</si>
  <si>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</si>
  <si>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</si>
  <si>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</si>
  <si>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</si>
  <si>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</si>
  <si>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</si>
  <si>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</si>
  <si>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</si>
  <si>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</si>
  <si>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</si>
  <si>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</si>
  <si>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</si>
  <si>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</si>
  <si>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</si>
  <si>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</si>
  <si>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</si>
  <si>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</si>
  <si>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</si>
  <si>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</si>
  <si>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</si>
  <si>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</si>
  <si>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</si>
  <si>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</si>
  <si>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</si>
  <si>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</si>
  <si>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</si>
  <si>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</si>
  <si>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</si>
  <si>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</si>
  <si>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</si>
  <si>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</si>
  <si>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</si>
  <si>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</si>
  <si>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</si>
  <si>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</si>
  <si>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</si>
  <si>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</si>
  <si>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</si>
  <si>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</si>
  <si>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</si>
  <si>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</si>
  <si>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</si>
  <si>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</si>
  <si>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</si>
  <si>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</si>
  <si>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</si>
  <si>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</si>
  <si>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</si>
  <si>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</si>
  <si>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</si>
  <si>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</si>
  <si>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</si>
  <si>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</si>
  <si>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</si>
  <si>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</si>
  <si>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</si>
  <si>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</si>
  <si>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</si>
  <si>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</si>
  <si>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</si>
  <si>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</si>
  <si>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</si>
  <si>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</si>
  <si>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</si>
  <si>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</si>
  <si>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</si>
  <si>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</si>
  <si>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</si>
  <si>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</si>
  <si>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</si>
  <si>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</si>
  <si>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</si>
  <si>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</si>
  <si>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</si>
  <si>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</si>
  <si>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</si>
  <si>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</si>
  <si>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</si>
  <si>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</si>
  <si>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</si>
  <si>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</si>
  <si>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</si>
  <si>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</si>
  <si>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</si>
  <si>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</si>
  <si>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</si>
  <si>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</si>
  <si>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</si>
  <si>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</si>
  <si>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</si>
  <si>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</si>
  <si>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</si>
  <si>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</si>
  <si>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</si>
  <si>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</si>
  <si>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</si>
  <si>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</si>
  <si>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</si>
  <si>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</si>
  <si>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</si>
  <si>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</si>
  <si>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</si>
  <si>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</si>
  <si>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</si>
  <si>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</si>
  <si>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</si>
  <si>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</si>
  <si>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</si>
  <si>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</si>
  <si>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</si>
  <si>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</si>
  <si>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</si>
  <si>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</si>
  <si>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</si>
  <si>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</si>
  <si>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</si>
  <si>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</si>
  <si>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</si>
  <si>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</si>
  <si>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</si>
  <si>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</si>
  <si>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</si>
  <si>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</si>
  <si>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</si>
  <si>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</si>
  <si>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</si>
  <si>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</si>
  <si>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</si>
  <si>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</si>
  <si>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</si>
  <si>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</si>
  <si>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</si>
  <si>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</si>
  <si>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</si>
  <si>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</si>
  <si>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</si>
  <si>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</si>
  <si>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</si>
  <si>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</si>
  <si>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</si>
  <si>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</si>
  <si>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</si>
  <si>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</si>
  <si>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</si>
  <si>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</si>
  <si>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</si>
  <si>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</si>
  <si>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</si>
  <si>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</si>
  <si>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</si>
  <si>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</si>
  <si>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</si>
  <si>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</si>
  <si>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</si>
  <si>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</si>
  <si>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</si>
  <si>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</si>
  <si>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</si>
  <si>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</si>
  <si>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</si>
  <si>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</si>
  <si>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</si>
  <si>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</si>
  <si>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</si>
  <si>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</si>
  <si>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</si>
  <si>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</si>
  <si>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</si>
  <si>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</si>
  <si>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</si>
  <si>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</si>
  <si>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</si>
  <si>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</si>
  <si>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</si>
  <si>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</si>
  <si>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</si>
  <si>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</si>
  <si>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</si>
  <si>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</si>
  <si>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</si>
  <si>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</si>
  <si>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</si>
  <si>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</si>
  <si>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</si>
  <si>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</si>
  <si>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</si>
  <si>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</si>
  <si>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</si>
  <si>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</si>
  <si>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</si>
  <si>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</si>
  <si>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</si>
  <si>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</si>
  <si>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</si>
  <si>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</si>
  <si>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</si>
  <si>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</si>
  <si>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</si>
  <si>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</si>
  <si>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</si>
  <si>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</si>
  <si>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</si>
  <si>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</si>
  <si>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</si>
  <si>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</si>
  <si>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</si>
  <si>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</si>
  <si>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</si>
  <si>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</si>
  <si>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</si>
  <si>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</si>
  <si>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</si>
  <si>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</si>
  <si>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</si>
  <si>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</si>
  <si>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</si>
  <si>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</si>
  <si>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</si>
  <si>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</si>
  <si>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</si>
  <si>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</si>
  <si>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</si>
  <si>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</si>
  <si>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</si>
  <si>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</si>
  <si>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</si>
  <si>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</si>
  <si>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</si>
  <si>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</si>
  <si>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</si>
  <si>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</si>
  <si>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</si>
  <si>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</si>
  <si>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</si>
  <si>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</si>
  <si>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</si>
  <si>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</si>
  <si>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</si>
  <si>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</si>
  <si>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</si>
  <si>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</si>
  <si>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</si>
  <si>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</si>
  <si>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</si>
  <si>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</si>
  <si>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</si>
  <si>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</si>
  <si>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</si>
  <si>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</si>
  <si>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</si>
  <si>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</si>
  <si>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</si>
  <si>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</si>
  <si>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</si>
  <si>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</si>
  <si>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</si>
  <si>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</si>
  <si>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</si>
  <si>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</si>
  <si>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</si>
  <si>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</si>
  <si>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</si>
  <si>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</si>
  <si>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</si>
  <si>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</si>
  <si>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</si>
  <si>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</si>
  <si>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</si>
  <si>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</si>
  <si>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</si>
  <si>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</si>
  <si>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</si>
  <si>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</si>
  <si>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</si>
  <si>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</si>
  <si>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</si>
  <si>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</si>
  <si>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</si>
  <si>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</si>
  <si>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</si>
  <si>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</si>
  <si>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</si>
  <si>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</si>
  <si>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</si>
  <si>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</si>
  <si>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</si>
  <si>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</si>
  <si>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</si>
  <si>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</si>
  <si>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</si>
  <si>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</si>
  <si>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</si>
  <si>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</si>
  <si>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</si>
  <si>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</si>
  <si>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</si>
  <si>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</si>
  <si>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</si>
  <si>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</si>
  <si>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</si>
  <si>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</si>
  <si>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</si>
  <si>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</si>
  <si>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</si>
  <si>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</si>
  <si>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</si>
  <si>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</si>
  <si>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</si>
  <si>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</si>
  <si>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</si>
  <si>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</si>
  <si>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</si>
  <si>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</si>
  <si>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</si>
  <si>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</si>
  <si>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</si>
  <si>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</si>
  <si>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</si>
  <si>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</si>
  <si>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</si>
  <si>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</si>
  <si>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</si>
  <si>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</si>
  <si>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</si>
  <si>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</si>
  <si>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</si>
  <si>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</si>
  <si>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</si>
  <si>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</si>
  <si>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</si>
  <si>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</si>
  <si>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</si>
  <si>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</si>
  <si>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</si>
  <si>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</si>
  <si>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</si>
  <si>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</si>
  <si>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</si>
  <si>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</si>
  <si>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</si>
  <si>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</si>
  <si>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</si>
  <si>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</si>
  <si>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</si>
  <si>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</si>
  <si>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</si>
  <si>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</si>
  <si>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</si>
  <si>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</si>
  <si>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</si>
  <si>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</si>
  <si>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</si>
  <si>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</si>
  <si>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</si>
  <si>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</si>
  <si>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</si>
  <si>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</si>
  <si>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</si>
  <si>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</si>
  <si>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</si>
  <si>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</si>
  <si>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</si>
  <si>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</si>
  <si>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</si>
  <si>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</si>
  <si>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</si>
  <si>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</si>
  <si>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</si>
  <si>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</si>
  <si>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</si>
  <si>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</si>
  <si>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</si>
  <si>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</si>
  <si>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</si>
  <si>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</si>
  <si>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</si>
  <si>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</si>
  <si>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</si>
  <si>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</si>
  <si>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</si>
  <si>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</si>
  <si>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</si>
  <si>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</si>
  <si>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</si>
  <si>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</si>
  <si>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</si>
  <si>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</si>
  <si>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</si>
  <si>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</si>
  <si>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</si>
  <si>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</si>
  <si>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</si>
  <si>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</si>
  <si>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</si>
  <si>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</si>
  <si>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</si>
  <si>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</si>
  <si>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</si>
  <si>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</si>
  <si>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</si>
  <si>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</si>
  <si>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</si>
  <si>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</si>
  <si>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</si>
  <si>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</si>
  <si>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</si>
  <si>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</si>
  <si>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</si>
  <si>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</si>
  <si>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</si>
  <si>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</si>
  <si>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</si>
  <si>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</si>
  <si>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</si>
  <si>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</si>
  <si>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</si>
  <si>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</si>
  <si>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</si>
  <si>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</si>
  <si>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</si>
  <si>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</si>
  <si>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</si>
  <si>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</si>
  <si>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</si>
  <si>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</si>
  <si>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</si>
  <si>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</si>
  <si>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</si>
  <si>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</si>
  <si>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</si>
  <si>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</si>
  <si>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</si>
  <si>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</si>
  <si>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</si>
  <si>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</si>
  <si>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</si>
  <si>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</si>
  <si>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</si>
  <si>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</si>
  <si>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</si>
  <si>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</si>
  <si>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</si>
  <si>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</si>
  <si>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</si>
  <si>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</si>
  <si>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</si>
  <si>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</si>
  <si>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</si>
  <si>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</si>
  <si>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</si>
  <si>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</si>
  <si>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</si>
  <si>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</si>
  <si>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</si>
  <si>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</si>
  <si>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</si>
  <si>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</si>
  <si>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</si>
  <si>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</si>
  <si>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</si>
  <si>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</si>
  <si>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</si>
  <si>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</si>
  <si>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</si>
  <si>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</si>
  <si>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</si>
  <si>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</si>
  <si>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</si>
  <si>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</si>
  <si>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</si>
  <si>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</si>
  <si>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</si>
  <si>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</si>
  <si>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</si>
  <si>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</si>
  <si>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</si>
  <si>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</si>
  <si>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</si>
  <si>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</si>
  <si>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</si>
  <si>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</si>
  <si>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</si>
  <si>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</si>
  <si>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</si>
  <si>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</si>
  <si>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</si>
  <si>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</si>
  <si>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</si>
  <si>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</si>
  <si>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</si>
  <si>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</si>
  <si>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</si>
  <si>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</si>
  <si>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</si>
  <si>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</si>
  <si>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</si>
  <si>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</si>
  <si>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</si>
  <si>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</si>
  <si>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</si>
  <si>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</si>
  <si>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</si>
  <si>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</si>
  <si>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</si>
  <si>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</si>
  <si>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</si>
  <si>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</si>
  <si>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</si>
  <si>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</si>
  <si>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</si>
  <si>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</si>
  <si>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</si>
  <si>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</si>
  <si>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</si>
  <si>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</si>
  <si>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</si>
  <si>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</si>
  <si>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</si>
  <si>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</si>
  <si>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</si>
  <si>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</si>
  <si>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</si>
  <si>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</si>
  <si>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</si>
  <si>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</si>
  <si>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</si>
  <si>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</si>
  <si>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</si>
  <si>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</si>
  <si>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</si>
  <si>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</si>
  <si>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</si>
  <si>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</si>
  <si>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</si>
  <si>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</si>
  <si>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</si>
  <si>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</si>
  <si>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</si>
  <si>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</si>
  <si>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</si>
  <si>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</si>
  <si>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</si>
  <si>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</si>
  <si>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</si>
  <si>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</si>
  <si>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</si>
  <si>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</si>
  <si>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</si>
  <si>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</si>
  <si>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</si>
  <si>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</si>
  <si>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</si>
  <si>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</si>
  <si>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</si>
  <si>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</si>
  <si>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</si>
  <si>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</si>
  <si>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</si>
  <si>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</si>
  <si>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</si>
  <si>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</si>
  <si>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</si>
  <si>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</si>
  <si>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</si>
  <si>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</si>
  <si>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</si>
  <si>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</si>
  <si>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</si>
  <si>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</si>
  <si>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</si>
  <si>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</si>
  <si>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</si>
  <si>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</si>
  <si>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</si>
  <si>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</si>
  <si>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</si>
  <si>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</si>
  <si>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</si>
  <si>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</si>
  <si>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</si>
  <si>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</si>
  <si>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</si>
  <si>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</si>
  <si>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</si>
  <si>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</si>
  <si>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</si>
  <si>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</si>
  <si>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</si>
  <si>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</si>
  <si>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</si>
  <si>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</si>
  <si>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</si>
  <si>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</si>
  <si>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</si>
  <si>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</si>
  <si>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</si>
  <si>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</si>
  <si>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</si>
  <si>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</si>
  <si>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</si>
  <si>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</si>
  <si>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</si>
  <si>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</si>
  <si>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</si>
  <si>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</si>
  <si>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</si>
  <si>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</si>
  <si>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</si>
  <si>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</si>
  <si>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</si>
  <si>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</si>
  <si>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</si>
  <si>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</si>
  <si>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</si>
  <si>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</si>
  <si>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</si>
  <si>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</si>
  <si>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</si>
  <si>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</si>
  <si>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</si>
  <si>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</si>
  <si>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</si>
  <si>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</si>
  <si>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</si>
  <si>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</si>
  <si>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</si>
  <si>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</si>
  <si>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</si>
  <si>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</si>
  <si>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</si>
  <si>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</si>
  <si>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</si>
  <si>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</si>
  <si>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</si>
  <si>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</si>
  <si>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</si>
  <si>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</si>
  <si>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</si>
  <si>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</si>
  <si>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</si>
  <si>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</si>
  <si>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</si>
  <si>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</si>
  <si>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</si>
  <si>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</si>
  <si>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</si>
  <si>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</si>
  <si>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</si>
  <si>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</si>
  <si>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</si>
  <si>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</si>
  <si>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</si>
  <si>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</si>
  <si>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</si>
  <si>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</si>
  <si>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</si>
  <si>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</si>
  <si>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</si>
  <si>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</si>
  <si>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</si>
  <si>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</si>
  <si>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</si>
  <si>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</si>
  <si>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</si>
  <si>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</si>
  <si>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</si>
  <si>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</si>
  <si>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</si>
  <si>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</si>
  <si>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</si>
  <si>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</si>
  <si>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</si>
  <si>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</si>
  <si>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</si>
  <si>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</si>
  <si>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</si>
  <si>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</si>
  <si>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</si>
  <si>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</si>
  <si>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</si>
  <si>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</si>
  <si>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</si>
  <si>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</si>
  <si>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</si>
  <si>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</si>
  <si>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</si>
  <si>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</si>
  <si>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</si>
  <si>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</si>
  <si>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</si>
  <si>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</si>
  <si>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</si>
  <si>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</si>
  <si>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</si>
  <si>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</si>
  <si>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</si>
  <si>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</si>
  <si>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</si>
  <si>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</si>
  <si>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</si>
  <si>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</si>
  <si>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</si>
  <si>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</si>
  <si>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</si>
  <si>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</si>
  <si>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</si>
  <si>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</si>
  <si>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</si>
  <si>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</si>
  <si>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</si>
  <si>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</si>
  <si>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</si>
  <si>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</si>
  <si>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</si>
  <si>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</si>
  <si>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</si>
  <si>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</si>
  <si>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</si>
  <si>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</si>
  <si>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</si>
  <si>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</si>
  <si>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</si>
  <si>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</si>
  <si>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</si>
  <si>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</si>
  <si>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</si>
  <si>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</si>
  <si>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</si>
  <si>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</si>
  <si>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</si>
  <si>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</si>
  <si>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</si>
  <si>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</si>
  <si>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</si>
  <si>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</si>
  <si>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</si>
  <si>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</si>
  <si>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</si>
  <si>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</si>
  <si>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</si>
  <si>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</si>
  <si>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</si>
  <si>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</si>
  <si>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</si>
  <si>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</si>
  <si>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</si>
  <si>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</si>
  <si>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</si>
  <si>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</si>
  <si>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</si>
  <si>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</si>
  <si>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</si>
  <si>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</si>
  <si>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</si>
  <si>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</si>
  <si>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</si>
  <si>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</si>
  <si>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</si>
  <si>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</si>
  <si>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</si>
  <si>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</si>
  <si>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</si>
  <si>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</si>
  <si>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</si>
  <si>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</si>
  <si>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</si>
  <si>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</si>
  <si>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</si>
  <si>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</si>
  <si>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</si>
  <si>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</si>
  <si>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</si>
  <si>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</si>
  <si>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</si>
  <si>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</si>
  <si>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</si>
  <si>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</si>
  <si>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</si>
  <si>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</si>
  <si>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</si>
  <si>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</si>
  <si>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</si>
  <si>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</si>
  <si>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</si>
  <si>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</si>
  <si>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</si>
  <si>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</si>
  <si>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</si>
  <si>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</si>
  <si>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</si>
  <si>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</si>
  <si>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</si>
  <si>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</si>
  <si>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</si>
  <si>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</si>
  <si>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</si>
  <si>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</si>
  <si>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</si>
  <si>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</si>
  <si>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</si>
  <si>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</si>
  <si>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</si>
  <si>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</si>
  <si>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</si>
  <si>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</si>
  <si>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</si>
  <si>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</si>
  <si>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</si>
  <si>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</si>
  <si>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</si>
  <si>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</si>
  <si>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</si>
  <si>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</si>
  <si>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</si>
  <si>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</si>
  <si>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</si>
  <si>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</si>
  <si>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</si>
  <si>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</si>
  <si>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</si>
  <si>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</si>
  <si>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</si>
  <si>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</si>
  <si>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</si>
  <si>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</si>
  <si>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</si>
  <si>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</si>
  <si>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</si>
  <si>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</si>
  <si>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</si>
  <si>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</si>
  <si>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</si>
  <si>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</si>
  <si>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</si>
  <si>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</si>
  <si>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</si>
  <si>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</si>
  <si>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</si>
  <si>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</si>
  <si>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</si>
  <si>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</si>
  <si>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</si>
  <si>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</si>
  <si>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</si>
  <si>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</si>
  <si>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</si>
  <si>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</si>
  <si>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</si>
  <si>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</si>
  <si>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</si>
  <si>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</si>
  <si>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</si>
  <si>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</si>
  <si>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</si>
  <si>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</si>
  <si>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</si>
  <si>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</si>
  <si>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</si>
  <si>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</si>
  <si>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</si>
  <si>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</si>
  <si>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</si>
  <si>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</si>
  <si>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</si>
  <si>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</si>
  <si>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</si>
  <si>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</si>
  <si>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</si>
  <si>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</si>
  <si>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</si>
  <si>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</si>
  <si>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</si>
  <si>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</si>
  <si>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</si>
  <si>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</si>
  <si>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</si>
  <si>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</si>
  <si>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</si>
  <si>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</si>
  <si>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</si>
  <si>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</si>
  <si>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</si>
  <si>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</si>
  <si>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</si>
  <si>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</si>
  <si>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</si>
  <si>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</si>
  <si>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</si>
  <si>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</si>
  <si>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</si>
  <si>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</si>
  <si>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</si>
  <si>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</si>
  <si>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</si>
  <si>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</si>
  <si>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</si>
  <si>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</si>
  <si>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</si>
  <si>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</si>
  <si>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</si>
  <si>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</si>
  <si>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</si>
  <si>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</si>
  <si>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</si>
  <si>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</si>
  <si>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</si>
  <si>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</si>
  <si>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</si>
  <si>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</si>
  <si>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</si>
  <si>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</si>
  <si>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</si>
  <si>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</si>
  <si>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</si>
  <si>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</si>
  <si>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</si>
  <si>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</si>
  <si>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</si>
  <si>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</si>
  <si>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</si>
  <si>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</si>
  <si>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</si>
  <si>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</si>
  <si>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</si>
  <si>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</si>
  <si>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</si>
  <si>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</si>
  <si>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</si>
  <si>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</si>
  <si>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</si>
  <si>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</si>
  <si>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</si>
  <si>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</si>
  <si>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</si>
  <si>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</si>
  <si>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</si>
  <si>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</si>
  <si>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</si>
  <si>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</si>
  <si>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</si>
  <si>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</si>
  <si>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</si>
  <si>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</si>
  <si>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</si>
  <si>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</si>
  <si>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</si>
  <si>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</si>
  <si>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</si>
  <si>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</si>
  <si>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</si>
  <si>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</si>
  <si>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</si>
  <si>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</si>
  <si>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</si>
  <si>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</si>
  <si>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</si>
  <si>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</si>
  <si>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</si>
  <si>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</si>
  <si>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</si>
  <si>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</si>
  <si>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</si>
  <si>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</si>
  <si>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</si>
  <si>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</si>
  <si>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</si>
  <si>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</si>
  <si>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</si>
  <si>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</si>
  <si>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</si>
  <si>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</si>
  <si>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</si>
  <si>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</si>
  <si>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</si>
  <si>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</si>
  <si>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</si>
  <si>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</si>
  <si>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</si>
  <si>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</si>
  <si>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</si>
  <si>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</si>
  <si>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</si>
  <si>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</si>
  <si>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</si>
  <si>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</si>
  <si>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</si>
  <si>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</si>
  <si>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</si>
  <si>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</si>
  <si>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</si>
  <si>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</si>
  <si>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</si>
  <si>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</si>
  <si>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</si>
  <si>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</si>
  <si>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</si>
  <si>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</si>
  <si>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</si>
  <si>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</si>
  <si>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</si>
  <si>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</si>
  <si>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</si>
  <si>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</si>
  <si>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</si>
  <si>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</si>
  <si>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</si>
  <si>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</si>
  <si>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</si>
  <si>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</si>
  <si>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</si>
  <si>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</si>
  <si>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</si>
  <si>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</si>
  <si>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</si>
  <si>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</si>
  <si>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</si>
  <si>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</si>
  <si>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</si>
  <si>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</si>
  <si>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</si>
  <si>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</si>
  <si>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</si>
  <si>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</si>
  <si>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</si>
  <si>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</si>
  <si>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</si>
  <si>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</si>
  <si>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</si>
  <si>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</si>
  <si>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</si>
  <si>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</si>
  <si>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</si>
  <si>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</si>
  <si>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</si>
  <si>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</si>
  <si>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</si>
  <si>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</si>
  <si>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</si>
  <si>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</si>
  <si>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</si>
  <si>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</si>
  <si>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</si>
  <si>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</si>
  <si>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</si>
  <si>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</si>
  <si>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</si>
  <si>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</si>
  <si>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</si>
  <si>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</si>
  <si>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</si>
  <si>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</si>
  <si>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</si>
  <si>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</si>
  <si>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</si>
  <si>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</si>
  <si>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</si>
  <si>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</si>
  <si>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</si>
  <si>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</si>
  <si>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</si>
  <si>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</si>
  <si>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</si>
  <si>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</si>
  <si>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</si>
  <si>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</si>
  <si>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</si>
  <si>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</si>
  <si>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</si>
  <si>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</si>
  <si>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</si>
  <si>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</si>
  <si>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</si>
  <si>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</si>
  <si>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</si>
  <si>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</si>
  <si>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</si>
  <si>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</si>
  <si>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</si>
  <si>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</si>
  <si>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</si>
  <si>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</si>
  <si>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</si>
  <si>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</si>
  <si>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</si>
  <si>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</si>
  <si>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</si>
  <si>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</si>
  <si>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</si>
  <si>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</si>
  <si>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</si>
  <si>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</si>
  <si>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</si>
  <si>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</si>
  <si>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</si>
  <si>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</si>
  <si>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</si>
  <si>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</si>
  <si>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</si>
  <si>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</si>
  <si>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</si>
  <si>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</si>
  <si>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</si>
  <si>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</si>
  <si>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</si>
  <si>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</si>
  <si>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</si>
  <si>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</si>
  <si>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</si>
  <si>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</si>
  <si>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</si>
  <si>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</si>
  <si>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</si>
  <si>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</si>
  <si>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</si>
  <si>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</si>
  <si>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</si>
  <si>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</si>
  <si>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</si>
  <si>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</si>
  <si>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</si>
  <si>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</si>
  <si>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</si>
  <si>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</si>
  <si>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</si>
  <si>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</si>
  <si>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</si>
  <si>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</si>
  <si>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</si>
  <si>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</si>
  <si>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</si>
  <si>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</si>
  <si>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</si>
  <si>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</si>
  <si>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</si>
  <si>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</si>
  <si>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</si>
  <si>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</si>
  <si>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</si>
  <si>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</si>
  <si>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</si>
  <si>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</si>
  <si>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</si>
  <si>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</si>
  <si>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</si>
  <si>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</si>
  <si>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</si>
  <si>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</si>
  <si>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</si>
  <si>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</si>
  <si>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</si>
  <si>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</si>
  <si>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</si>
  <si>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</si>
  <si>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</si>
  <si>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</si>
  <si>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</si>
  <si>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</si>
  <si>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</si>
  <si>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</si>
  <si>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</si>
  <si>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</si>
  <si>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</si>
  <si>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</si>
  <si>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</si>
  <si>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</si>
  <si>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</si>
  <si>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</si>
  <si>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</si>
  <si>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</si>
  <si>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</si>
  <si>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</si>
  <si>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</si>
  <si>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</si>
  <si>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</si>
  <si>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</si>
  <si>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</si>
  <si>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</si>
  <si>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</si>
  <si>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</si>
  <si>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</si>
  <si>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</si>
  <si>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</si>
  <si>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</si>
  <si>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</si>
  <si>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</si>
  <si>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</si>
  <si>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</si>
  <si>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</si>
  <si>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</si>
  <si>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</si>
  <si>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</si>
  <si>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</si>
  <si>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</si>
  <si>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</si>
  <si>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</si>
  <si>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</si>
  <si>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</si>
  <si>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</si>
  <si>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</si>
  <si>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</si>
  <si>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</si>
  <si>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</si>
  <si>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</si>
  <si>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</si>
  <si>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</si>
  <si>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</si>
  <si>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</si>
  <si>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</si>
  <si>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</si>
  <si>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</si>
  <si>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</si>
  <si>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</si>
  <si>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</si>
  <si>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</si>
  <si>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</si>
  <si>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</si>
  <si>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</si>
  <si>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</si>
  <si>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</si>
  <si>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</si>
  <si>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</si>
  <si>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</si>
  <si>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</si>
  <si>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</si>
  <si>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</si>
  <si>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</si>
  <si>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</si>
  <si>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</si>
  <si>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</si>
  <si>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</si>
  <si>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</si>
  <si>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</si>
  <si>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</si>
  <si>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</si>
  <si>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</si>
  <si>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</si>
  <si>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</si>
  <si>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</si>
  <si>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</si>
  <si>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</si>
  <si>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</si>
  <si>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</si>
  <si>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</si>
  <si>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</si>
  <si>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</si>
  <si>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</si>
  <si>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</si>
  <si>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</si>
  <si>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</si>
  <si>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</si>
  <si>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</si>
  <si>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</si>
  <si>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</si>
  <si>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</si>
  <si>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</si>
  <si>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</si>
  <si>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</si>
  <si>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</si>
  <si>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</si>
  <si>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</si>
  <si>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</si>
  <si>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</si>
  <si>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</si>
  <si>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</si>
  <si>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</si>
  <si>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</si>
  <si>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</si>
  <si>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</si>
  <si>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</si>
  <si>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</si>
  <si>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</si>
  <si>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</si>
  <si>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</si>
  <si>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</si>
  <si>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</si>
  <si>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</si>
  <si>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</si>
  <si>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</si>
  <si>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</si>
  <si>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</si>
  <si>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</si>
  <si>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</si>
  <si>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</si>
  <si>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</si>
  <si>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</si>
  <si>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</si>
  <si>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</si>
  <si>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</si>
  <si>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</si>
  <si>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</si>
  <si>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</si>
  <si>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</si>
  <si>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</si>
  <si>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</si>
  <si>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</si>
  <si>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</si>
  <si>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</si>
  <si>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</si>
  <si>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</si>
  <si>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</si>
  <si>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</si>
  <si>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</si>
  <si>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</si>
  <si>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</si>
  <si>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</si>
  <si>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</si>
  <si>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</si>
  <si>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</si>
  <si>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</si>
  <si>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</si>
  <si>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</si>
  <si>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</si>
  <si>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</si>
  <si>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</si>
  <si>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</si>
  <si>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</si>
  <si>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</si>
  <si>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</si>
  <si>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</si>
  <si>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</si>
  <si>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</si>
  <si>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</si>
  <si>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</si>
  <si>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</si>
  <si>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</si>
  <si>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</si>
  <si>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</si>
  <si>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</si>
  <si>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</si>
  <si>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</si>
  <si>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</si>
  <si>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</si>
  <si>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</si>
  <si>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</si>
  <si>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</si>
  <si>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</si>
  <si>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</si>
  <si>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</si>
  <si>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</si>
  <si>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</si>
  <si>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</si>
  <si>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</si>
  <si>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</si>
  <si>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</si>
  <si>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</si>
  <si>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</si>
  <si>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</si>
  <si>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</si>
  <si>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</si>
  <si>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</si>
  <si>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</si>
  <si>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</si>
  <si>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</si>
  <si>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</si>
  <si>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</si>
  <si>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</si>
  <si>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</si>
  <si>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</si>
  <si>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</si>
  <si>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</si>
  <si>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</si>
  <si>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</si>
  <si>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</si>
  <si>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</si>
  <si>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</si>
  <si>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</si>
  <si>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</si>
  <si>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</si>
  <si>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</si>
  <si>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</si>
  <si>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</si>
  <si>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</si>
  <si>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</si>
  <si>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</si>
  <si>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</si>
  <si>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</si>
  <si>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</si>
  <si>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</si>
  <si>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</si>
  <si>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</si>
  <si>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</si>
  <si>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</si>
  <si>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</si>
  <si>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</si>
  <si>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</si>
  <si>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</si>
  <si>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</si>
  <si>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</si>
  <si>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</si>
  <si>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</si>
  <si>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</si>
  <si>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</si>
  <si>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</si>
  <si>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</si>
  <si>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</si>
  <si>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</si>
  <si>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</si>
  <si>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</si>
  <si>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</si>
  <si>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</si>
  <si>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</si>
  <si>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</si>
  <si>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</si>
  <si>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</si>
  <si>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</si>
  <si>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</si>
  <si>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</si>
  <si>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</si>
  <si>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</si>
  <si>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</si>
  <si>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</si>
  <si>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</si>
  <si>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</si>
  <si>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</si>
  <si>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X</t>
  </si>
  <si>
    <t>66-59D389111</t>
  </si>
  <si>
    <t>5QF.803.106</t>
  </si>
  <si>
    <t>5QF.803.230</t>
  </si>
  <si>
    <t>5QA.803.774</t>
  </si>
  <si>
    <t>5QA.803.106</t>
  </si>
  <si>
    <t>5Q0.804.132</t>
  </si>
  <si>
    <t>5qa802035b_002_bps0008_R</t>
  </si>
  <si>
    <t>KJLTVR111180R01</t>
  </si>
  <si>
    <t>66-59D389105</t>
  </si>
  <si>
    <t>5QA.803.210</t>
  </si>
  <si>
    <t>5qa802035b_028_acps0009_R</t>
  </si>
  <si>
    <t>5qa802035b_002_bps0007_R</t>
  </si>
  <si>
    <t>5qa802035b_028_acps0001_R</t>
  </si>
  <si>
    <t>5qa802035b_028_acps0008_R</t>
  </si>
  <si>
    <t>5qa802035b_002_bps0001_R</t>
  </si>
  <si>
    <t>5qa802035b_002_bps0006_R</t>
  </si>
  <si>
    <t>5qa802035b_066_brps0005_R</t>
  </si>
  <si>
    <t>5qa802035b_066_brps0006_R</t>
  </si>
  <si>
    <t>5qa802035b_002_bps0009_R</t>
  </si>
  <si>
    <t>5qa802035b_066_brps0011_R</t>
  </si>
  <si>
    <t>5qa802035b_066_brps0012_R</t>
  </si>
  <si>
    <t>5qa802035b_036_alps0001_R</t>
  </si>
  <si>
    <t>ST1180</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</si>
</sst>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1180</a:t>
          </a:r>
          <a:endParaRPr lang="pt-BR" sz="2800">
            <a:effectLst/>
          </a:endParaRPr>
        </a:p>
      </xdr:txBody>
    </xdr:sp>
    <xdr:clientData/>
  </xdr:twoCellAnchor>
  <xdr:twoCellAnchor>
    <xdr:from>
      <xdr:col>1</xdr:col>
      <xdr:colOff>0</xdr:colOff>
      <xdr:row>41</xdr:row>
      <xdr:rowOff>114301</xdr:rowOff>
    </xdr:from>
    <xdr:to>
      <xdr:col>9</xdr:col>
      <xdr:colOff>327025</xdr:colOff>
      <xdr:row>52</xdr:row>
      <xdr:rowOff>3466</xdr:rowOff>
    </xdr:to>
    <xdr:sp macro="" textlink="">
      <xdr:nvSpPr>
        <xdr:cNvPr id="6" name="Rechteck 28">
          <a:extLst>
            <a:ext uri="{FF2B5EF4-FFF2-40B4-BE49-F238E27FC236}">
              <a16:creationId xmlns="" xmlns:a16="http://schemas.microsoft.com/office/drawing/2014/main" id="{00000000-0008-0000-0100-000006000000}"/>
            </a:ext>
          </a:extLst>
        </xdr:cNvPr>
        <xdr:cNvSpPr/>
      </xdr:nvSpPr>
      <xdr:spPr bwMode="auto">
        <a:xfrm>
          <a:off x="365125"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45</xdr:row>
      <xdr:rowOff>206376</xdr:rowOff>
    </xdr:from>
    <xdr:to>
      <xdr:col>24</xdr:col>
      <xdr:colOff>256593</xdr:colOff>
      <xdr:row>47</xdr:row>
      <xdr:rowOff>39973</xdr:rowOff>
    </xdr:to>
    <xdr:sp macro="" textlink="">
      <xdr:nvSpPr>
        <xdr:cNvPr id="7" name="Text Box 147">
          <a:extLst>
            <a:ext uri="{FF2B5EF4-FFF2-40B4-BE49-F238E27FC236}">
              <a16:creationId xmlns="" xmlns:a16="http://schemas.microsoft.com/office/drawing/2014/main" id="{00000000-0008-0000-0100-000007000000}"/>
            </a:ext>
          </a:extLst>
        </xdr:cNvPr>
        <xdr:cNvSpPr txBox="1">
          <a:spLocks noChangeArrowheads="1"/>
        </xdr:cNvSpPr>
      </xdr:nvSpPr>
      <xdr:spPr bwMode="auto">
        <a:xfrm>
          <a:off x="6926821"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9x GEO 1180R01</a:t>
          </a:r>
        </a:p>
      </xdr:txBody>
    </xdr:sp>
    <xdr:clientData/>
  </xdr:twoCellAnchor>
  <xdr:twoCellAnchor>
    <xdr:from>
      <xdr:col>13</xdr:col>
      <xdr:colOff>8618</xdr:colOff>
      <xdr:row>46</xdr:row>
      <xdr:rowOff>60326</xdr:rowOff>
    </xdr:from>
    <xdr:to>
      <xdr:col>13</xdr:col>
      <xdr:colOff>173719</xdr:colOff>
      <xdr:row>46</xdr:row>
      <xdr:rowOff>222005</xdr:rowOff>
    </xdr:to>
    <xdr:sp macro="" textlink="">
      <xdr:nvSpPr>
        <xdr:cNvPr id="10" name="Oval 96">
          <a:extLst>
            <a:ext uri="{FF2B5EF4-FFF2-40B4-BE49-F238E27FC236}">
              <a16:creationId xmlns="" xmlns:a16="http://schemas.microsoft.com/office/drawing/2014/main" id="{00000000-0008-0000-0100-00000A000000}"/>
            </a:ext>
          </a:extLst>
        </xdr:cNvPr>
        <xdr:cNvSpPr/>
      </xdr:nvSpPr>
      <xdr:spPr>
        <a:xfrm rot="10800000" flipH="1" flipV="1">
          <a:off x="6707868"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190501</xdr:rowOff>
    </xdr:from>
    <xdr:to>
      <xdr:col>8</xdr:col>
      <xdr:colOff>1075130</xdr:colOff>
      <xdr:row>51</xdr:row>
      <xdr:rowOff>114589</xdr:rowOff>
    </xdr:to>
    <xdr:sp macro="" textlink="">
      <xdr:nvSpPr>
        <xdr:cNvPr id="11" name="Textfeld 38">
          <a:extLst>
            <a:ext uri="{FF2B5EF4-FFF2-40B4-BE49-F238E27FC236}">
              <a16:creationId xmlns="" xmlns:a16="http://schemas.microsoft.com/office/drawing/2014/main" id="{00000000-0008-0000-0100-00000B000000}"/>
            </a:ext>
          </a:extLst>
        </xdr:cNvPr>
        <xdr:cNvSpPr txBox="1"/>
      </xdr:nvSpPr>
      <xdr:spPr>
        <a:xfrm>
          <a:off x="929368"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389105/176</a:t>
          </a:r>
          <a:endParaRPr lang="pt-BR" sz="1800">
            <a:effectLst/>
          </a:endParaRPr>
        </a:p>
      </xdr:txBody>
    </xdr:sp>
    <xdr:clientData/>
  </xdr:twoCellAnchor>
  <xdr:twoCellAnchor>
    <xdr:from>
      <xdr:col>3</xdr:col>
      <xdr:colOff>119742</xdr:colOff>
      <xdr:row>50</xdr:row>
      <xdr:rowOff>63501</xdr:rowOff>
    </xdr:from>
    <xdr:to>
      <xdr:col>3</xdr:col>
      <xdr:colOff>284843</xdr:colOff>
      <xdr:row>51</xdr:row>
      <xdr:rowOff>18805</xdr:rowOff>
    </xdr:to>
    <xdr:sp macro="" textlink="">
      <xdr:nvSpPr>
        <xdr:cNvPr id="12" name="Oval 96">
          <a:extLst>
            <a:ext uri="{FF2B5EF4-FFF2-40B4-BE49-F238E27FC236}">
              <a16:creationId xmlns="" xmlns:a16="http://schemas.microsoft.com/office/drawing/2014/main" id="{00000000-0008-0000-0100-00000C000000}"/>
            </a:ext>
          </a:extLst>
        </xdr:cNvPr>
        <xdr:cNvSpPr/>
      </xdr:nvSpPr>
      <xdr:spPr>
        <a:xfrm rot="10800000" flipH="1" flipV="1">
          <a:off x="1040492"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151493</xdr:colOff>
      <xdr:row>42</xdr:row>
      <xdr:rowOff>142875</xdr:rowOff>
    </xdr:from>
    <xdr:to>
      <xdr:col>8</xdr:col>
      <xdr:colOff>786493</xdr:colOff>
      <xdr:row>49</xdr:row>
      <xdr:rowOff>110252</xdr:rowOff>
    </xdr:to>
    <xdr:pic>
      <xdr:nvPicPr>
        <xdr:cNvPr id="13" name="Imagem 12">
          <a:extLst>
            <a:ext uri="{FF2B5EF4-FFF2-40B4-BE49-F238E27FC236}">
              <a16:creationId xmlns=""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a:off x="1072243" y="9477375"/>
          <a:ext cx="2460625" cy="1523127"/>
        </a:xfrm>
        <a:prstGeom prst="rect">
          <a:avLst/>
        </a:prstGeom>
      </xdr:spPr>
    </xdr:pic>
    <xdr:clientData/>
  </xdr:twoCellAnchor>
  <xdr:twoCellAnchor editAs="oneCell">
    <xdr:from>
      <xdr:col>8</xdr:col>
      <xdr:colOff>246743</xdr:colOff>
      <xdr:row>9</xdr:row>
      <xdr:rowOff>111125</xdr:rowOff>
    </xdr:from>
    <xdr:to>
      <xdr:col>34</xdr:col>
      <xdr:colOff>354817</xdr:colOff>
      <xdr:row>38</xdr:row>
      <xdr:rowOff>31750</xdr:rowOff>
    </xdr:to>
    <xdr:pic>
      <xdr:nvPicPr>
        <xdr:cNvPr id="14" name="Imagem 13">
          <a:extLst>
            <a:ext uri="{FF2B5EF4-FFF2-40B4-BE49-F238E27FC236}">
              <a16:creationId xmlns=""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2993118" y="2111375"/>
          <a:ext cx="14189199" cy="6365875"/>
        </a:xfrm>
        <a:prstGeom prst="rect">
          <a:avLst/>
        </a:prstGeom>
      </xdr:spPr>
    </xdr:pic>
    <xdr:clientData/>
  </xdr:twoCellAnchor>
  <xdr:twoCellAnchor editAs="oneCell">
    <xdr:from>
      <xdr:col>8</xdr:col>
      <xdr:colOff>246743</xdr:colOff>
      <xdr:row>9</xdr:row>
      <xdr:rowOff>111125</xdr:rowOff>
    </xdr:from>
    <xdr:to>
      <xdr:col>10</xdr:col>
      <xdr:colOff>698500</xdr:colOff>
      <xdr:row>11</xdr:row>
      <xdr:rowOff>104720</xdr:rowOff>
    </xdr:to>
    <xdr:pic>
      <xdr:nvPicPr>
        <xdr:cNvPr id="15" name="Imagem 14"/>
        <xdr:cNvPicPr>
          <a:picLocks noChangeAspect="1"/>
        </xdr:cNvPicPr>
      </xdr:nvPicPr>
      <xdr:blipFill>
        <a:blip xmlns:r="http://schemas.openxmlformats.org/officeDocument/2006/relationships" r:embed="rId4"/>
        <a:stretch>
          <a:fillRect/>
        </a:stretch>
      </xdr:blipFill>
      <xdr:spPr>
        <a:xfrm>
          <a:off x="2993118" y="2111375"/>
          <a:ext cx="2055132"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2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2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2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2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6" name="Rectangle 869">
          <a:extLst>
            <a:ext uri="{FF2B5EF4-FFF2-40B4-BE49-F238E27FC236}">
              <a16:creationId xmlns="" xmlns:a16="http://schemas.microsoft.com/office/drawing/2014/main" id="{00000000-0008-0000-0200-000006000000}"/>
            </a:ext>
          </a:extLst>
        </xdr:cNvPr>
        <xdr:cNvSpPr>
          <a:spLocks noChangeArrowheads="1"/>
        </xdr:cNvSpPr>
      </xdr:nvSpPr>
      <xdr:spPr bwMode="auto">
        <a:xfrm>
          <a:off x="600075" y="190499"/>
          <a:ext cx="9872178" cy="1016000"/>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7" name="Text Box 14">
          <a:extLst>
            <a:ext uri="{FF2B5EF4-FFF2-40B4-BE49-F238E27FC236}">
              <a16:creationId xmlns="" xmlns:a16="http://schemas.microsoft.com/office/drawing/2014/main" id="{00000000-0008-0000-0200-000007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1180</a:t>
          </a:r>
          <a:endParaRPr lang="pt-BR" sz="2800">
            <a:effectLst/>
          </a:endParaRPr>
        </a:p>
      </xdr:txBody>
    </xdr:sp>
    <xdr:clientData/>
  </xdr:twoCellAnchor>
  <xdr:twoCellAnchor>
    <xdr:from>
      <xdr:col>1</xdr:col>
      <xdr:colOff>15875</xdr:colOff>
      <xdr:row>41</xdr:row>
      <xdr:rowOff>114301</xdr:rowOff>
    </xdr:from>
    <xdr:to>
      <xdr:col>9</xdr:col>
      <xdr:colOff>342900</xdr:colOff>
      <xdr:row>52</xdr:row>
      <xdr:rowOff>3466</xdr:rowOff>
    </xdr:to>
    <xdr:sp macro="" textlink="">
      <xdr:nvSpPr>
        <xdr:cNvPr id="15" name="Rechteck 28">
          <a:extLst>
            <a:ext uri="{FF2B5EF4-FFF2-40B4-BE49-F238E27FC236}">
              <a16:creationId xmlns="" xmlns:a16="http://schemas.microsoft.com/office/drawing/2014/main" id="{00000000-0008-0000-0200-00000F000000}"/>
            </a:ext>
          </a:extLst>
        </xdr:cNvPr>
        <xdr:cNvSpPr/>
      </xdr:nvSpPr>
      <xdr:spPr bwMode="auto">
        <a:xfrm>
          <a:off x="381000"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206376</xdr:rowOff>
    </xdr:from>
    <xdr:to>
      <xdr:col>24</xdr:col>
      <xdr:colOff>272468</xdr:colOff>
      <xdr:row>47</xdr:row>
      <xdr:rowOff>39973</xdr:rowOff>
    </xdr:to>
    <xdr:sp macro="" textlink="">
      <xdr:nvSpPr>
        <xdr:cNvPr id="16" name="Text Box 147">
          <a:extLst>
            <a:ext uri="{FF2B5EF4-FFF2-40B4-BE49-F238E27FC236}">
              <a16:creationId xmlns="" xmlns:a16="http://schemas.microsoft.com/office/drawing/2014/main" id="{00000000-0008-0000-0200-000010000000}"/>
            </a:ext>
          </a:extLst>
        </xdr:cNvPr>
        <xdr:cNvSpPr txBox="1">
          <a:spLocks noChangeArrowheads="1"/>
        </xdr:cNvSpPr>
      </xdr:nvSpPr>
      <xdr:spPr bwMode="auto">
        <a:xfrm>
          <a:off x="6942696"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4x GEO 1180R01</a:t>
          </a:r>
        </a:p>
      </xdr:txBody>
    </xdr:sp>
    <xdr:clientData/>
  </xdr:twoCellAnchor>
  <xdr:twoCellAnchor>
    <xdr:from>
      <xdr:col>13</xdr:col>
      <xdr:colOff>24493</xdr:colOff>
      <xdr:row>46</xdr:row>
      <xdr:rowOff>60326</xdr:rowOff>
    </xdr:from>
    <xdr:to>
      <xdr:col>13</xdr:col>
      <xdr:colOff>189594</xdr:colOff>
      <xdr:row>46</xdr:row>
      <xdr:rowOff>222005</xdr:rowOff>
    </xdr:to>
    <xdr:sp macro="" textlink="">
      <xdr:nvSpPr>
        <xdr:cNvPr id="17" name="Oval 96">
          <a:extLst>
            <a:ext uri="{FF2B5EF4-FFF2-40B4-BE49-F238E27FC236}">
              <a16:creationId xmlns="" xmlns:a16="http://schemas.microsoft.com/office/drawing/2014/main" id="{00000000-0008-0000-0200-000011000000}"/>
            </a:ext>
          </a:extLst>
        </xdr:cNvPr>
        <xdr:cNvSpPr/>
      </xdr:nvSpPr>
      <xdr:spPr>
        <a:xfrm rot="10800000" flipH="1" flipV="1">
          <a:off x="6723743"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190501</xdr:rowOff>
    </xdr:from>
    <xdr:to>
      <xdr:col>8</xdr:col>
      <xdr:colOff>1091005</xdr:colOff>
      <xdr:row>51</xdr:row>
      <xdr:rowOff>114589</xdr:rowOff>
    </xdr:to>
    <xdr:sp macro="" textlink="">
      <xdr:nvSpPr>
        <xdr:cNvPr id="18" name="Textfeld 38">
          <a:extLst>
            <a:ext uri="{FF2B5EF4-FFF2-40B4-BE49-F238E27FC236}">
              <a16:creationId xmlns="" xmlns:a16="http://schemas.microsoft.com/office/drawing/2014/main" id="{00000000-0008-0000-0200-000012000000}"/>
            </a:ext>
          </a:extLst>
        </xdr:cNvPr>
        <xdr:cNvSpPr txBox="1"/>
      </xdr:nvSpPr>
      <xdr:spPr>
        <a:xfrm>
          <a:off x="945243"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389111/176</a:t>
          </a:r>
          <a:endParaRPr lang="pt-BR" sz="1800">
            <a:effectLst/>
          </a:endParaRPr>
        </a:p>
      </xdr:txBody>
    </xdr:sp>
    <xdr:clientData/>
  </xdr:twoCellAnchor>
  <xdr:twoCellAnchor>
    <xdr:from>
      <xdr:col>3</xdr:col>
      <xdr:colOff>135617</xdr:colOff>
      <xdr:row>50</xdr:row>
      <xdr:rowOff>63501</xdr:rowOff>
    </xdr:from>
    <xdr:to>
      <xdr:col>3</xdr:col>
      <xdr:colOff>300718</xdr:colOff>
      <xdr:row>51</xdr:row>
      <xdr:rowOff>18805</xdr:rowOff>
    </xdr:to>
    <xdr:sp macro="" textlink="">
      <xdr:nvSpPr>
        <xdr:cNvPr id="19" name="Oval 96">
          <a:extLst>
            <a:ext uri="{FF2B5EF4-FFF2-40B4-BE49-F238E27FC236}">
              <a16:creationId xmlns="" xmlns:a16="http://schemas.microsoft.com/office/drawing/2014/main" id="{00000000-0008-0000-0200-000013000000}"/>
            </a:ext>
          </a:extLst>
        </xdr:cNvPr>
        <xdr:cNvSpPr/>
      </xdr:nvSpPr>
      <xdr:spPr>
        <a:xfrm rot="10800000" flipH="1" flipV="1">
          <a:off x="1056367"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183242</xdr:colOff>
      <xdr:row>42</xdr:row>
      <xdr:rowOff>127001</xdr:rowOff>
    </xdr:from>
    <xdr:to>
      <xdr:col>8</xdr:col>
      <xdr:colOff>818242</xdr:colOff>
      <xdr:row>49</xdr:row>
      <xdr:rowOff>50040</xdr:rowOff>
    </xdr:to>
    <xdr:pic>
      <xdr:nvPicPr>
        <xdr:cNvPr id="20" name="Imagem 19">
          <a:extLst>
            <a:ext uri="{FF2B5EF4-FFF2-40B4-BE49-F238E27FC236}">
              <a16:creationId xmlns="" xmlns:a16="http://schemas.microsoft.com/office/drawing/2014/main" id="{00000000-0008-0000-0200-000014000000}"/>
            </a:ext>
          </a:extLst>
        </xdr:cNvPr>
        <xdr:cNvPicPr>
          <a:picLocks noChangeAspect="1"/>
        </xdr:cNvPicPr>
      </xdr:nvPicPr>
      <xdr:blipFill>
        <a:blip xmlns:r="http://schemas.openxmlformats.org/officeDocument/2006/relationships" r:embed="rId2"/>
        <a:stretch>
          <a:fillRect/>
        </a:stretch>
      </xdr:blipFill>
      <xdr:spPr>
        <a:xfrm>
          <a:off x="1103992" y="9461501"/>
          <a:ext cx="2460625" cy="1478789"/>
        </a:xfrm>
        <a:prstGeom prst="rect">
          <a:avLst/>
        </a:prstGeom>
      </xdr:spPr>
    </xdr:pic>
    <xdr:clientData/>
  </xdr:twoCellAnchor>
  <xdr:twoCellAnchor editAs="oneCell">
    <xdr:from>
      <xdr:col>5</xdr:col>
      <xdr:colOff>119743</xdr:colOff>
      <xdr:row>11</xdr:row>
      <xdr:rowOff>0</xdr:rowOff>
    </xdr:from>
    <xdr:to>
      <xdr:col>34</xdr:col>
      <xdr:colOff>187503</xdr:colOff>
      <xdr:row>35</xdr:row>
      <xdr:rowOff>15875</xdr:rowOff>
    </xdr:to>
    <xdr:pic>
      <xdr:nvPicPr>
        <xdr:cNvPr id="21" name="Imagem 20">
          <a:extLst>
            <a:ext uri="{FF2B5EF4-FFF2-40B4-BE49-F238E27FC236}">
              <a16:creationId xmlns="" xmlns:a16="http://schemas.microsoft.com/office/drawing/2014/main" id="{00000000-0008-0000-0200-000015000000}"/>
            </a:ext>
          </a:extLst>
        </xdr:cNvPr>
        <xdr:cNvPicPr>
          <a:picLocks noChangeAspect="1"/>
        </xdr:cNvPicPr>
      </xdr:nvPicPr>
      <xdr:blipFill>
        <a:blip xmlns:r="http://schemas.openxmlformats.org/officeDocument/2006/relationships" r:embed="rId3"/>
        <a:stretch>
          <a:fillRect/>
        </a:stretch>
      </xdr:blipFill>
      <xdr:spPr>
        <a:xfrm>
          <a:off x="1961243" y="2444750"/>
          <a:ext cx="15053760" cy="53498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3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3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3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3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6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6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6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6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6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6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6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6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6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6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6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6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6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6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6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6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6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6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6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6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6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6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6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6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6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7" Type="http://schemas.openxmlformats.org/officeDocument/2006/relationships/comments" Target="../comments2.xml"/><Relationship Id="rId2" Type="http://schemas.openxmlformats.org/officeDocument/2006/relationships/printerSettings" Target="../printerSettings/printerSettings4.bin"/><Relationship Id="rId1" Type="http://schemas.openxmlformats.org/officeDocument/2006/relationships/hyperlink" Target="mailto:Thomas.Noack@Volkswagen.de" TargetMode="External"/><Relationship Id="rId6" Type="http://schemas.openxmlformats.org/officeDocument/2006/relationships/image" Target="../media/image8.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10.emf"/><Relationship Id="rId4" Type="http://schemas.openxmlformats.org/officeDocument/2006/relationships/oleObject" Target="../embeddings/Documento_do_Microsoft_Word_97_-_20031.doc"/></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40" zoomScale="80" zoomScaleNormal="80" zoomScaleSheetLayoutView="85" workbookViewId="0">
      <selection activeCell="U53" sqref="U53"/>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1180</v>
      </c>
      <c r="P55" s="569"/>
      <c r="Q55" s="569"/>
      <c r="R55" s="569"/>
      <c r="S55" s="570"/>
      <c r="T55" s="574" t="s">
        <v>13</v>
      </c>
      <c r="U55" s="566" t="s">
        <v>2</v>
      </c>
      <c r="V55" s="566"/>
      <c r="W55" s="44"/>
      <c r="X55" s="516" t="s">
        <v>1924</v>
      </c>
      <c r="Y55" s="517"/>
      <c r="Z55" s="567" t="s">
        <v>3</v>
      </c>
      <c r="AA55" s="567"/>
      <c r="AB55" s="633">
        <v>3</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1952</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1928</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46"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F19" sqref="F19"/>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1180</v>
      </c>
      <c r="P55" s="673"/>
      <c r="Q55" s="673"/>
      <c r="R55" s="673"/>
      <c r="S55" s="673"/>
      <c r="T55" s="574" t="s">
        <v>13</v>
      </c>
      <c r="U55" s="644" t="s">
        <v>2</v>
      </c>
      <c r="V55" s="644"/>
      <c r="W55" s="174"/>
      <c r="X55" s="645" t="str">
        <f>'Blatt 0'!X55:Y56</f>
        <v>GME</v>
      </c>
      <c r="Y55" s="645"/>
      <c r="Z55" s="650" t="s">
        <v>3</v>
      </c>
      <c r="AA55" s="650"/>
      <c r="AB55" s="645">
        <f>'Blatt 0'!AB55:AB56</f>
        <v>3</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ST1180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L40" sqref="L40"/>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1180</v>
      </c>
      <c r="P55" s="673"/>
      <c r="Q55" s="673"/>
      <c r="R55" s="673"/>
      <c r="S55" s="673"/>
      <c r="T55" s="574" t="s">
        <v>13</v>
      </c>
      <c r="U55" s="644" t="s">
        <v>2</v>
      </c>
      <c r="V55" s="644"/>
      <c r="W55" s="174"/>
      <c r="X55" s="645" t="str">
        <f>'Blatt 0'!X55:Y56</f>
        <v>GME</v>
      </c>
      <c r="Y55" s="645"/>
      <c r="Z55" s="650" t="s">
        <v>3</v>
      </c>
      <c r="AA55" s="650"/>
      <c r="AB55" s="645">
        <f>'Blatt 0'!AB55:AB56</f>
        <v>3</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ST1180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12" zoomScale="85" zoomScaleNormal="85" zoomScaleSheetLayoutView="40" zoomScalePageLayoutView="10" workbookViewId="0">
      <selection activeCell="W31" sqref="W31"/>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Karosseriebau</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Achtung: Sonderfräsmesser erforderlich, Rücksprache Prozessmethodik!</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Punktschweißen</v>
      </c>
      <c r="D4" s="775"/>
      <c r="E4" s="775"/>
      <c r="F4" s="775"/>
      <c r="G4" s="775"/>
      <c r="H4" s="775"/>
      <c r="I4" s="775"/>
      <c r="J4" s="775"/>
      <c r="K4" s="775"/>
      <c r="L4" s="776"/>
      <c r="M4" s="1049" t="str">
        <f>IF($E$6="DE","Zeichnungsstand:","Dwg release:")</f>
        <v>Zeichnungsstand:</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Elektrodenkappe</v>
      </c>
      <c r="AI4" s="958"/>
      <c r="AJ4" s="959"/>
      <c r="AK4" s="716" t="str">
        <f>X46</f>
        <v>39D 1979-2 !</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1175</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1927</v>
      </c>
      <c r="U6" s="1061"/>
      <c r="V6" s="1061"/>
      <c r="W6" s="1061"/>
      <c r="X6" s="1061"/>
      <c r="Y6" s="1061"/>
      <c r="Z6" s="1061"/>
      <c r="AA6" s="1061"/>
      <c r="AB6" s="1061"/>
      <c r="AC6" s="1061"/>
      <c r="AD6" s="1061"/>
      <c r="AE6" s="1061"/>
      <c r="AF6" s="1061"/>
      <c r="AG6" s="1062"/>
      <c r="AH6" s="704" t="str">
        <f>IF($E$6="DE","Sonderelektrode (manuelle Auswahl)","Special Electrode Cap (manual selection)")</f>
        <v>Sonderelektrode (manuelle Auswahl)</v>
      </c>
      <c r="AI6" s="705"/>
      <c r="AJ6" s="706"/>
      <c r="AK6" s="729" t="str">
        <f>IF($E$6="DE","Sonderfräsmesser (manuelle Auswahl)","Special Tip-Dresser (manual selection)")</f>
        <v>Sonderfräsmesser (manuelle Auswahl)</v>
      </c>
      <c r="AL6" s="730"/>
      <c r="AM6" s="730"/>
      <c r="AN6" s="730"/>
      <c r="AO6" s="1031" t="str">
        <f>IF(OR(COUNTBLANK(AH8:AN8)&lt;7,BF44&gt;0),IF(E6="DE","Sonderfräsmesser / -elektroden genehmigt durch:", "Special Tip-Dresser / Electrodes approved by:"),"")</f>
        <v>Sonderfräsmesser / -elektroden genehmigt durch:</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Doppelzange (J/N)</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Name:                         (Abteilung)</v>
      </c>
      <c r="AP8" s="1018"/>
      <c r="AQ8" s="1019"/>
      <c r="AR8" s="1020"/>
      <c r="AS8" s="1020"/>
      <c r="AT8" s="1020"/>
      <c r="AU8" s="1020"/>
      <c r="AV8" s="1018" t="str">
        <f>IF(OR(COUNTBLANK(AH8:AN8)&lt;7,BF44&gt;0),IF(E6="DE","Datum","Date"),"")</f>
        <v>Datum</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Punkt- Nummer (Index)</v>
      </c>
      <c r="D9" s="780" t="str">
        <f>IF($E$6="DE","Punkt- Name                                                   (FE - Bezeichnung)","Welding-Spot Number                                              (FE - designition)")</f>
        <v>Punkt- Name                                                   (FE - Bezeichnung)</v>
      </c>
      <c r="E9" s="783" t="str">
        <f>IF($E$6="DE","Schweißkoffer","Welding case-No.")</f>
        <v>Schweißkoffer</v>
      </c>
      <c r="F9" s="783" t="str">
        <f>IF($E$6="DE","Schweißen durch Rob. IR .. /                                Werker WA ..","Welding with Rob. IR ... /                    Worker WR No …")</f>
        <v>Schweißen durch Rob. IR .. /                                Werker WA ..</v>
      </c>
      <c r="G9" s="783" t="str">
        <f>IF($E$6="DE","Schweißzangen-Typ","Weldgun - Type")</f>
        <v>Schweißzangen-Typ</v>
      </c>
      <c r="H9" s="786" t="str">
        <f>IF($E$6="DE","Schweißzangen-Nr.","Weldgun drawing No.")</f>
        <v>Schweißzangen-Nr.</v>
      </c>
      <c r="I9" s="789" t="str">
        <f>IF($E$6="DE","Trafo","Weld-Transformer")</f>
        <v>Trafo</v>
      </c>
      <c r="J9" s="792" t="str">
        <f>IF($E$6="DE","Netzlinien","Car Netline")</f>
        <v>Netzlinien</v>
      </c>
      <c r="K9" s="793"/>
      <c r="L9" s="794"/>
      <c r="M9" s="792" t="str">
        <f>IF($E$6="DE","Blechpaarung","Sheet metal stack")</f>
        <v>Blechpaarung</v>
      </c>
      <c r="N9" s="793"/>
      <c r="O9" s="795"/>
      <c r="P9" s="771" t="str">
        <f>IF($E$6="DE","Blechdicke / Werkstoff","Sheet Thickness / Material")</f>
        <v>Blechdicke / Werkstoff</v>
      </c>
      <c r="Q9" s="772"/>
      <c r="R9" s="772"/>
      <c r="S9" s="772"/>
      <c r="T9" s="772"/>
      <c r="U9" s="772"/>
      <c r="V9" s="772"/>
      <c r="W9" s="772"/>
      <c r="X9" s="773"/>
      <c r="Y9" s="450"/>
      <c r="Z9" s="1070" t="str">
        <f>IF($E$6="DE","Zwischenrechnung","theoretical Values")</f>
        <v>Zwischenrechnung</v>
      </c>
      <c r="AA9" s="1071"/>
      <c r="AB9" s="1072"/>
      <c r="AC9" s="682" t="str">
        <f>IF($E$6="DE","Schweißparameter","Welding Parameters")</f>
        <v>Schweißparameter</v>
      </c>
      <c r="AD9" s="682"/>
      <c r="AE9" s="683"/>
      <c r="AF9" s="1038" t="str">
        <f>IF($E$6="DE","Anforderung","Requirement")</f>
        <v>Anforderung</v>
      </c>
      <c r="AG9" s="1039"/>
      <c r="AH9" s="700" t="str">
        <f>IF($E$6="DE","benötigte Elektrodenkappen für Schweißpunkt","required Electrode Caps for Spot")</f>
        <v>benötigte Elektrodenkappen für Schweißpunkt</v>
      </c>
      <c r="AI9" s="701"/>
      <c r="AJ9" s="701"/>
      <c r="AK9" s="702"/>
      <c r="AL9" s="703"/>
      <c r="AM9" s="710" t="str">
        <f>IF($E$6="DE","Bemerkung","Comments")</f>
        <v>Bemerkung</v>
      </c>
      <c r="AN9" s="711"/>
      <c r="AO9" s="700" t="str">
        <f>IF($E$6="DE","Schweißpunkte gültig für folgende Typen:","Welding Spots valid for the following Types")</f>
        <v>Schweißpunkte gültig für folgende Typen:</v>
      </c>
      <c r="AP9" s="701"/>
      <c r="AQ9" s="701"/>
      <c r="AR9" s="701"/>
      <c r="AS9" s="701"/>
      <c r="AT9" s="701"/>
      <c r="AU9" s="701"/>
      <c r="AV9" s="701"/>
      <c r="AW9" s="701"/>
      <c r="AX9" s="701"/>
      <c r="AY9" s="701"/>
      <c r="AZ9" s="701"/>
      <c r="BA9" s="701"/>
      <c r="BB9" s="728"/>
      <c r="BC9" s="282"/>
      <c r="BD9" s="282"/>
      <c r="BE9" s="282"/>
      <c r="BF9" s="282"/>
      <c r="BH9" s="306" t="s">
        <v>1724</v>
      </c>
      <c r="BI9" s="306" t="b">
        <f>(COUNTIF(G19:G43,"x"))&gt;0</f>
        <v>1</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Zeichnungsnummer</v>
      </c>
      <c r="N10" s="806"/>
      <c r="O10" s="806"/>
      <c r="P10" s="747" t="s">
        <v>57</v>
      </c>
      <c r="Q10" s="966" t="str">
        <f>IF($E$6="DE","Werkstoff 1","Material 1")</f>
        <v>Werkstoff 1</v>
      </c>
      <c r="R10" s="940" t="str">
        <f>IF($E$6="DE","Streckgrenze Re 1","Yield strength Re 1")</f>
        <v>Streckgrenze Re 1</v>
      </c>
      <c r="S10" s="990" t="s">
        <v>58</v>
      </c>
      <c r="T10" s="966" t="str">
        <f>IF($E$6="DE","Werkstoff 2","Material 2")</f>
        <v>Werkstoff 2</v>
      </c>
      <c r="U10" s="940" t="str">
        <f>IF($E$6="DE","Streckgrenze Re 2","Yield strength Re 2")</f>
        <v>Streckgrenze Re 2</v>
      </c>
      <c r="V10" s="990" t="s">
        <v>59</v>
      </c>
      <c r="W10" s="966" t="str">
        <f>IF($E$6="DE","Werkstoff 3","Material 3")</f>
        <v>Werkstoff 3</v>
      </c>
      <c r="X10" s="940" t="str">
        <f>IF($E$6="DE","Streckgrenze Re 3","Yield strength Re 3")</f>
        <v>Streckgrenze Re 3</v>
      </c>
      <c r="Y10" s="988" t="str">
        <f>IF($E$6="DE","Klebstoff (J/N)","Adhesive (J=Yes /N=No)")</f>
        <v>Klebstoff (J/N)</v>
      </c>
      <c r="Z10" s="1073" t="str">
        <f>IF($E$6="DE","Vergleichsblechdicke tv","Ref. Thickness tv")</f>
        <v>Vergleichsblechdicke tv</v>
      </c>
      <c r="AA10" s="985" t="str">
        <f>IF($E$6="DE","Zuschlag Streckgrenze ","Yield strength surcharge")</f>
        <v xml:space="preserve">Zuschlag Streckgrenze </v>
      </c>
      <c r="AB10" s="687" t="str">
        <f>IF($E$6="DE","Schweißkraft inkl. Klebstoff (Zangenauslegung)","Welding Force incl. Adhesive (Gun Calculation)")</f>
        <v>Schweißkraft inkl. Klebstoff (Zangenauslegung)</v>
      </c>
      <c r="AC10" s="1067" t="str">
        <f>IF($E$6="DE","Schweißstrom","Welding Current")</f>
        <v>Schweißstrom</v>
      </c>
      <c r="AD10" s="693" t="str">
        <f>IF($E$6="DE","Schweißzeit","Welding Time")</f>
        <v>Schweißzeit</v>
      </c>
      <c r="AE10" s="687" t="str">
        <f>IF($E$6="DE","Schweißkraft incl. Klebstoff u.  bei VW50066/TL4225- Material außen","Welding Force incl. adhesive and VW50066/TL4225-Material outside")</f>
        <v>Schweißkraft incl. Klebstoff u.  bei VW50066/TL4225- Material außen</v>
      </c>
      <c r="AF10" s="684" t="str">
        <f>IF($E$6="DE","Linsendurchmesser dn min (Blech 1 - Blech 2)","Nuggetdiameter dn min (Sheet 1 - Sheet 2)")</f>
        <v>Linsendurchmesser dn min (Blech 1 - Blech 2)</v>
      </c>
      <c r="AG10" s="687" t="str">
        <f>IF($E$6="DE","Linsendurchmesser dn min (Blech 2 - Blech 3)","Nuggetdiameter dn min (Sheet 2 - Sheet 3)")</f>
        <v>Linsendurchmesser dn min (Blech 2 - Blech 3)</v>
      </c>
      <c r="AH10" s="684" t="str">
        <f>IF($E$6="DE","Elektroden-kappen","Electrode Cap")</f>
        <v>Elektroden-kappen</v>
      </c>
      <c r="AI10" s="693" t="str">
        <f>IF($E$6="DE"," Arbeitsflächendurchm. für Elektrode an Blech 1 (AF1)","Electrode Tip Diameter                       on Sheet 1 (AF1)")</f>
        <v xml:space="preserve"> Arbeitsflächendurchm. für Elektrode an Blech 1 (AF1)</v>
      </c>
      <c r="AJ10" s="693" t="str">
        <f>IF($E$6="DE","Arbeitsflächenradius für Elektrode an Blech 1 (R1)","Electrode Tip Radius                    on Sheet 1 (R1)")</f>
        <v>Arbeitsflächenradius für Elektrode an Blech 1 (R1)</v>
      </c>
      <c r="AK10" s="1058" t="str">
        <f>IF($E$6="DE","Arbeitsflächendurchm. für Elektrode an Blech 2/3 (AF2/3)","Electrode Tip Diameter                      on Sheet 2/3 (AF2/3)")</f>
        <v>Arbeitsflächendurchm. für Elektrode an Blech 2/3 (AF2/3)</v>
      </c>
      <c r="AL10" s="1014" t="str">
        <f>IF($E$6="DE","Arbeitsflächenradius für Elektrode an Blech 2/3 (R2/3)","Electrode Tip Radius                   on Sheet 2 (R2/3)")</f>
        <v>Arbeitsflächenradius für Elektrode an Blech 2/3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7.1152300000000004</v>
      </c>
      <c r="D19" s="308" t="s">
        <v>1936</v>
      </c>
      <c r="E19" s="309" t="s">
        <v>1188</v>
      </c>
      <c r="F19" s="310" t="s">
        <v>1937</v>
      </c>
      <c r="G19" s="336" t="s">
        <v>1929</v>
      </c>
      <c r="H19" s="311" t="s">
        <v>1938</v>
      </c>
      <c r="I19" s="478" t="s">
        <v>1188</v>
      </c>
      <c r="J19" s="312">
        <v>154.35</v>
      </c>
      <c r="K19" s="313">
        <v>377.52</v>
      </c>
      <c r="L19" s="314">
        <v>111.38</v>
      </c>
      <c r="M19" s="315" t="s">
        <v>1934</v>
      </c>
      <c r="N19" s="316" t="s">
        <v>1939</v>
      </c>
      <c r="O19" s="317" t="s">
        <v>1188</v>
      </c>
      <c r="P19" s="502">
        <v>2.1</v>
      </c>
      <c r="Q19" s="320" t="s">
        <v>1129</v>
      </c>
      <c r="R19" s="318">
        <f>IF(AND(ISBLANK(P19),ISTEXT(Q19)),"t1?",IF(AND(ISBLANK(Q19),ISBLANK(P19)),"",VLOOKUP(BH19,Materialliste!$A$2:$B$1615,2,FALSE)))</f>
        <v>1250</v>
      </c>
      <c r="S19" s="319">
        <v>2</v>
      </c>
      <c r="T19" s="320" t="s">
        <v>1129</v>
      </c>
      <c r="U19" s="318">
        <f>IF(AND(ISBLANK(S19),ISTEXT(T19)),"t2?",IF(AND(ISBLANK(T19),ISBLANK(S19)),"",VLOOKUP(BI19,Materialliste!$A$2:$B$1615,2,FALSE)))</f>
        <v>1250</v>
      </c>
      <c r="V19" s="319"/>
      <c r="W19" s="320"/>
      <c r="X19" s="321" t="str">
        <f>IF(AND(ISBLANK(V19),ISTEXT(W19)),"t3?",IF(AND(ISBLANK(W19),ISBLANK(V19)),"",VLOOKUP(BJ19,Materialliste!$A$2:$B$1615,2,FALSE)))</f>
        <v/>
      </c>
      <c r="Y19" s="442" t="s">
        <v>1925</v>
      </c>
      <c r="Z19" s="453">
        <f t="shared" ref="Z19:Z43" si="0">IF($E$6="DE",IF(P19*S19&gt;0,0.8*BN19+0.2*BM19,"BLECH?"),IF(P19*S19&gt;0,0.8*BN19+0.2*BM19,"Sheet?"))</f>
        <v>2.02</v>
      </c>
      <c r="AA19" s="446">
        <f>IF(AND(ISNUMBER(R19),ISNUMBER(U19)),IF(ISTEXT(X19),(R19+U19)/(220*3*10)+0.9,(R19+U19+X19)/(220*3*10)+0.9),"?Re")</f>
        <v>1.2787878787878788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4.9532484848484861</v>
      </c>
      <c r="AC19" s="322">
        <f>IF(AND(BT19="J",OR(G19="C",G19="X")),39,IF(AND(BT19="N",OR(G19="C",G19="X")),IF(Z19="BLECH?","",IF(AND(BX19=TRUE,BZ19=TRUE),IF(Z19&lt;=2,((1.13*Z19+7.1+BY19)+(1.13*Z19+7.1+CA19))/2*BW19,((1.5*Z19+5.8+BY19)+(1.5*Z19+5.8+CA19))/2*BW19),IF(Z19&lt;=2,(1.13*Z19+7.1+BY19+CA19)*BW19,(1.5*Z19+5.8+BY19+CA19)*BW19))),IF(OR(G19="B",G19="S"),6,IF(G19="R",7,IF(AND(G19="M",BT19="N"),4.3,IF(AND(G19="M",BT19="J"),"21",""))))))</f>
        <v>6.9105000000000008</v>
      </c>
      <c r="AD19" s="323">
        <f t="shared" ref="AD19:AD25" si="1">IF(OR(ISBLANK(G19),Z19="BLECH?"),"",IF(AND(BT19="J",G19="C"),60,IF(G19="B",60,IF(G19="R",150,IF(G19="S",90,IF(AND(G19="m",BT19="n"),350,IF(AND(G19="m",BT19="j"),50,MAX(MIN((((P19+S19+V19-1.4)*(600/4.6))+200)+BU19,900),200))))))))</f>
        <v>852.17391304347825</v>
      </c>
      <c r="AE19" s="324">
        <f>IF(AND(BT19="J",OR(G19="C",G19="X")),AB19*1,IF(OR(G19="C",G19="X"),AB19*BV19,IF(ISBLANK(G19),AB19,AB19*1)))</f>
        <v>3.46727393939394</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Ja</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TL 4225-AS30/30</v>
      </c>
      <c r="BJ19" s="473">
        <f t="shared" ref="BJ19:BJ43" si="5">IF(OR((RIGHT(W19,3)="U-O"),(RIGHT(W19,3)="E-O"),(RIGHT(W19,3)="U-P"),(RIGHT(W19,3)="E-P")),LEFT(W19,LEN(W19)-4),(IF(OR((RIGHT(W19,1)="U"),(RIGHT(W19,1)="E"),(RIGHT(W19,1)="O"),(RIGHT(W19,1)="P")),LEFT(W19,LEN(W19)-2),W19)))</f>
        <v>0</v>
      </c>
      <c r="BM19" s="474">
        <f t="shared" ref="BM19:BM43" si="6">MAX(P19,S19,V19)</f>
        <v>2.1</v>
      </c>
      <c r="BN19" s="475">
        <f>LARGE(BO19:BQ19,2)</f>
        <v>2</v>
      </c>
      <c r="BO19" s="474">
        <f t="shared" ref="BO19:BO43" si="7">P19</f>
        <v>2.1</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7.11524</v>
      </c>
      <c r="D20" s="333" t="s">
        <v>1940</v>
      </c>
      <c r="E20" s="334" t="s">
        <v>1188</v>
      </c>
      <c r="F20" s="335" t="s">
        <v>1937</v>
      </c>
      <c r="G20" s="336" t="s">
        <v>1929</v>
      </c>
      <c r="H20" s="337" t="s">
        <v>1938</v>
      </c>
      <c r="I20" s="479" t="s">
        <v>1188</v>
      </c>
      <c r="J20" s="338">
        <v>88.76</v>
      </c>
      <c r="K20" s="339">
        <v>386.61</v>
      </c>
      <c r="L20" s="340">
        <v>121.72</v>
      </c>
      <c r="M20" s="341" t="s">
        <v>1939</v>
      </c>
      <c r="N20" s="342" t="s">
        <v>1934</v>
      </c>
      <c r="O20" s="343" t="s">
        <v>1935</v>
      </c>
      <c r="P20" s="319">
        <v>2</v>
      </c>
      <c r="Q20" s="320" t="s">
        <v>1129</v>
      </c>
      <c r="R20" s="344">
        <f>IF(AND(ISBLANK(P20),ISTEXT(Q20)),"t1?",IF(AND(ISBLANK(Q20),ISBLANK(P20)),"",VLOOKUP(BH20,Materialliste!$A$2:$B$1615,2,FALSE)))</f>
        <v>1250</v>
      </c>
      <c r="S20" s="319">
        <v>2.1</v>
      </c>
      <c r="T20" s="320" t="s">
        <v>1129</v>
      </c>
      <c r="U20" s="345">
        <f>IF(AND(ISBLANK(S20),ISTEXT(T20)),"t2?",IF(AND(ISBLANK(T20),ISBLANK(S20)),"",VLOOKUP(BI20,Materialliste!$A$2:$B$1615,2,FALSE)))</f>
        <v>1250</v>
      </c>
      <c r="V20" s="319">
        <v>3</v>
      </c>
      <c r="W20" s="320" t="s">
        <v>600</v>
      </c>
      <c r="X20" s="345">
        <f>IF(AND(ISBLANK(V20),ISTEXT(W20)),"t3?",IF(AND(ISBLANK(W20),ISBLANK(V20)),"",VLOOKUP(BJ20,Materialliste!$A$2:$B$1615,2,FALSE)))</f>
        <v>350</v>
      </c>
      <c r="Y20" s="443" t="s">
        <v>1925</v>
      </c>
      <c r="Z20" s="346">
        <f t="shared" si="0"/>
        <v>2.2800000000000002</v>
      </c>
      <c r="AA20" s="347">
        <f t="shared" ref="AA20:AA43" si="11">IF(AND(ISNUMBER(R20),ISNUMBER(U20)),IF(ISTEXT(X20),(R20+U20)/(220*3*10)+0.9,(R20+U20+X20)/(220*3*10)+0.9),"?Re")</f>
        <v>1.3318181818181818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5.5797818181818188</v>
      </c>
      <c r="AC20" s="348">
        <f t="shared" ref="AC20:AC43" si="13">IF(AND(BT20="J",OR(G20="C",G20="X")),39,IF(OR(G20="C",G20="X"),IF(Z20="BLECH?","",IF(AND(BX20=TRUE,BZ20=TRUE),IF(Z20&lt;=2,((1.13*Z20+7.1+BY20)+(1.13*Z20+7.1+CA20))/2*BW20,((1.5*Z20+5.8+BY20)+(1.5*Z20+5.8+CA20))/2*BW20),IF(Z20&lt;=2,(1.13*Z20+7.1+BY20+CA20)*BW20,(1.5*Z20+5.8+BY20+CA20)*BW20))),IF(OR(G20="B",G20="S"),6,IF(G20="R",7,IF(AND(G20="M",BT20="N"),4.3,IF(AND(G20="M",BT20="J"),"21",""))))))</f>
        <v>7.2420000000000009</v>
      </c>
      <c r="AD20" s="323">
        <f t="shared" si="1"/>
        <v>900</v>
      </c>
      <c r="AE20" s="349">
        <f t="shared" ref="AE20:AE43" si="14">IF(AND(BT20="J",OR(G20="C",G20="X")),AB20*1,IF(OR(G20="C",G20="X"),AB20*BV20,IF(ISBLANK(G20),AB20,AB20*1)))</f>
        <v>3.9058472727272728</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5.0719818611663037</v>
      </c>
      <c r="AH20" s="461" t="str">
        <f t="shared" si="2"/>
        <v>39D 1979-2 !</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TL 4225-AS30/30</v>
      </c>
      <c r="BJ20" s="473" t="str">
        <f t="shared" si="5"/>
        <v>CR270LA-EG12/12</v>
      </c>
      <c r="BM20" s="474">
        <f t="shared" si="6"/>
        <v>3</v>
      </c>
      <c r="BN20" s="475">
        <f t="shared" ref="BN20:BN43" si="22">LARGE(BO20:BQ20,2)</f>
        <v>2.1</v>
      </c>
      <c r="BO20" s="474">
        <f t="shared" si="7"/>
        <v>2</v>
      </c>
      <c r="BP20" s="474">
        <f t="shared" si="8"/>
        <v>2.1</v>
      </c>
      <c r="BQ20" s="474">
        <f t="shared" si="9"/>
        <v>3</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1979-2 !</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7.1152499999999996</v>
      </c>
      <c r="D21" s="333" t="s">
        <v>1941</v>
      </c>
      <c r="E21" s="334" t="s">
        <v>1188</v>
      </c>
      <c r="F21" s="335" t="s">
        <v>1937</v>
      </c>
      <c r="G21" s="336" t="s">
        <v>1929</v>
      </c>
      <c r="H21" s="337" t="s">
        <v>1938</v>
      </c>
      <c r="I21" s="479" t="s">
        <v>1188</v>
      </c>
      <c r="J21" s="338">
        <v>104.23</v>
      </c>
      <c r="K21" s="339">
        <v>383.71</v>
      </c>
      <c r="L21" s="340">
        <v>124.52</v>
      </c>
      <c r="M21" s="341" t="s">
        <v>1934</v>
      </c>
      <c r="N21" s="342" t="s">
        <v>1939</v>
      </c>
      <c r="O21" s="343" t="s">
        <v>1188</v>
      </c>
      <c r="P21" s="319">
        <v>2.1</v>
      </c>
      <c r="Q21" s="320" t="s">
        <v>1129</v>
      </c>
      <c r="R21" s="355">
        <f>IF(AND(ISBLANK(P21),ISTEXT(Q21)),"t1?",IF(AND(ISBLANK(Q21),ISBLANK(P21)),"",VLOOKUP(BH21,Materialliste!$A$2:$B$1615,2,FALSE)))</f>
        <v>1250</v>
      </c>
      <c r="S21" s="319">
        <v>2</v>
      </c>
      <c r="T21" s="320" t="s">
        <v>1129</v>
      </c>
      <c r="U21" s="355">
        <f>IF(AND(ISBLANK(S21),ISTEXT(T21)),"t2?",IF(AND(ISBLANK(T21),ISBLANK(S21)),"",VLOOKUP(BI21,Materialliste!$A$2:$B$1615,2,FALSE)))</f>
        <v>1250</v>
      </c>
      <c r="V21" s="319"/>
      <c r="W21" s="320"/>
      <c r="X21" s="355" t="str">
        <f>IF(AND(ISBLANK(V21),ISTEXT(W21)),"t3?",IF(AND(ISBLANK(W21),ISBLANK(V21)),"",VLOOKUP(BJ21,Materialliste!$A$2:$B$1615,2,FALSE)))</f>
        <v/>
      </c>
      <c r="Y21" s="443" t="s">
        <v>1925</v>
      </c>
      <c r="Z21" s="346">
        <f t="shared" si="0"/>
        <v>2.02</v>
      </c>
      <c r="AA21" s="347">
        <f t="shared" si="11"/>
        <v>1.2787878787878788</v>
      </c>
      <c r="AB21" s="454">
        <f t="shared" si="12"/>
        <v>4.9532484848484861</v>
      </c>
      <c r="AC21" s="348">
        <f t="shared" si="13"/>
        <v>6.9105000000000008</v>
      </c>
      <c r="AD21" s="323">
        <f t="shared" si="1"/>
        <v>852.17391304347825</v>
      </c>
      <c r="AE21" s="349">
        <f t="shared" si="14"/>
        <v>3.46727393939394</v>
      </c>
      <c r="AF21" s="480">
        <f t="shared" si="15"/>
        <v>4.9497474683058327</v>
      </c>
      <c r="AG21" s="482" t="str">
        <f t="shared" si="16"/>
        <v/>
      </c>
      <c r="AH21" s="461" t="str">
        <f t="shared" si="2"/>
        <v>39D 1978-2</v>
      </c>
      <c r="AI21" s="350">
        <f t="shared" si="17"/>
        <v>8</v>
      </c>
      <c r="AJ21" s="350">
        <f t="shared" si="18"/>
        <v>50</v>
      </c>
      <c r="AK21" s="350">
        <f t="shared" si="19"/>
        <v>8</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Ja</v>
      </c>
      <c r="BH21" s="473" t="str">
        <f t="shared" si="3"/>
        <v>TL 4225-AS30/30</v>
      </c>
      <c r="BI21" s="473" t="str">
        <f t="shared" si="4"/>
        <v>TL 4225-AS30/30</v>
      </c>
      <c r="BJ21" s="473">
        <f t="shared" si="5"/>
        <v>0</v>
      </c>
      <c r="BM21" s="474">
        <f t="shared" si="6"/>
        <v>2.1</v>
      </c>
      <c r="BN21" s="475">
        <f t="shared" si="22"/>
        <v>2</v>
      </c>
      <c r="BO21" s="474">
        <f t="shared" si="7"/>
        <v>2.1</v>
      </c>
      <c r="BP21" s="474">
        <f t="shared" si="8"/>
        <v>2</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3"/>
      <c r="B22" s="281"/>
      <c r="C22" s="332">
        <v>7.1152600000000001</v>
      </c>
      <c r="D22" s="333" t="s">
        <v>1942</v>
      </c>
      <c r="E22" s="334" t="s">
        <v>1188</v>
      </c>
      <c r="F22" s="335" t="s">
        <v>1937</v>
      </c>
      <c r="G22" s="336" t="s">
        <v>1929</v>
      </c>
      <c r="H22" s="337" t="s">
        <v>1938</v>
      </c>
      <c r="I22" s="479" t="s">
        <v>1188</v>
      </c>
      <c r="J22" s="338">
        <v>88.22</v>
      </c>
      <c r="K22" s="339">
        <v>386.52</v>
      </c>
      <c r="L22" s="340">
        <v>86.75</v>
      </c>
      <c r="M22" s="341" t="s">
        <v>1939</v>
      </c>
      <c r="N22" s="342" t="s">
        <v>1934</v>
      </c>
      <c r="O22" s="343" t="s">
        <v>1935</v>
      </c>
      <c r="P22" s="319">
        <v>2</v>
      </c>
      <c r="Q22" s="320" t="s">
        <v>1129</v>
      </c>
      <c r="R22" s="355">
        <f>IF(AND(ISBLANK(P22),ISTEXT(Q22)),"t1?",IF(AND(ISBLANK(Q22),ISBLANK(P22)),"",VLOOKUP(BH22,Materialliste!$A$2:$B$1615,2,FALSE)))</f>
        <v>1250</v>
      </c>
      <c r="S22" s="319">
        <v>2.1</v>
      </c>
      <c r="T22" s="320" t="s">
        <v>1129</v>
      </c>
      <c r="U22" s="355">
        <f>IF(AND(ISBLANK(S22),ISTEXT(T22)),"t2?",IF(AND(ISBLANK(T22),ISBLANK(S22)),"",VLOOKUP(BI22,Materialliste!$A$2:$B$1615,2,FALSE)))</f>
        <v>1250</v>
      </c>
      <c r="V22" s="319">
        <v>3</v>
      </c>
      <c r="W22" s="356" t="s">
        <v>600</v>
      </c>
      <c r="X22" s="355">
        <f>IF(AND(ISBLANK(V22),ISTEXT(W22)),"t3?",IF(AND(ISBLANK(W22),ISBLANK(V22)),"",VLOOKUP(BJ22,Materialliste!$A$2:$B$1615,2,FALSE)))</f>
        <v>350</v>
      </c>
      <c r="Y22" s="443" t="s">
        <v>1925</v>
      </c>
      <c r="Z22" s="346">
        <f t="shared" si="0"/>
        <v>2.2800000000000002</v>
      </c>
      <c r="AA22" s="347">
        <f t="shared" si="11"/>
        <v>1.3318181818181818</v>
      </c>
      <c r="AB22" s="454">
        <f t="shared" si="12"/>
        <v>5.5797818181818188</v>
      </c>
      <c r="AC22" s="348">
        <f t="shared" si="13"/>
        <v>7.2420000000000009</v>
      </c>
      <c r="AD22" s="323">
        <f t="shared" si="1"/>
        <v>900</v>
      </c>
      <c r="AE22" s="349">
        <f t="shared" si="14"/>
        <v>3.9058472727272728</v>
      </c>
      <c r="AF22" s="480">
        <f t="shared" si="15"/>
        <v>4.9497474683058327</v>
      </c>
      <c r="AG22" s="482">
        <f t="shared" si="16"/>
        <v>5.0719818611663037</v>
      </c>
      <c r="AH22" s="461" t="str">
        <f t="shared" si="2"/>
        <v>39D 1979-2 !</v>
      </c>
      <c r="AI22" s="350">
        <f t="shared" si="17"/>
        <v>8</v>
      </c>
      <c r="AJ22" s="350">
        <f t="shared" si="18"/>
        <v>50</v>
      </c>
      <c r="AK22" s="350">
        <f t="shared" si="19"/>
        <v>8</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TL 4225-AS30/30</v>
      </c>
      <c r="BJ22" s="473" t="str">
        <f t="shared" si="5"/>
        <v>CR270LA-EG12/12</v>
      </c>
      <c r="BM22" s="474">
        <f t="shared" si="6"/>
        <v>3</v>
      </c>
      <c r="BN22" s="475">
        <f t="shared" si="22"/>
        <v>2.1</v>
      </c>
      <c r="BO22" s="474">
        <f t="shared" si="7"/>
        <v>2</v>
      </c>
      <c r="BP22" s="474">
        <f t="shared" si="8"/>
        <v>2.1</v>
      </c>
      <c r="BQ22" s="474">
        <f t="shared" si="9"/>
        <v>3</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1979-2 !</v>
      </c>
      <c r="CL22" s="306" t="str">
        <f t="shared" si="31"/>
        <v>39D 1978-2</v>
      </c>
    </row>
    <row r="23" spans="1:90" ht="33" customHeight="1">
      <c r="A23" s="923"/>
      <c r="B23" s="281"/>
      <c r="C23" s="332">
        <v>7.1152699999999998</v>
      </c>
      <c r="D23" s="333" t="s">
        <v>1943</v>
      </c>
      <c r="E23" s="334" t="s">
        <v>1188</v>
      </c>
      <c r="F23" s="335" t="s">
        <v>1937</v>
      </c>
      <c r="G23" s="336" t="s">
        <v>1929</v>
      </c>
      <c r="H23" s="337" t="s">
        <v>1938</v>
      </c>
      <c r="I23" s="479" t="s">
        <v>1188</v>
      </c>
      <c r="J23" s="338">
        <v>69.31</v>
      </c>
      <c r="K23" s="339">
        <v>390.53</v>
      </c>
      <c r="L23" s="340">
        <v>102.49</v>
      </c>
      <c r="M23" s="342" t="s">
        <v>1939</v>
      </c>
      <c r="N23" s="342" t="s">
        <v>1934</v>
      </c>
      <c r="O23" s="342" t="s">
        <v>1935</v>
      </c>
      <c r="P23" s="319">
        <v>2</v>
      </c>
      <c r="Q23" s="320" t="s">
        <v>1129</v>
      </c>
      <c r="R23" s="355">
        <f>IF(AND(ISBLANK(P23),ISTEXT(Q23)),"t1?",IF(AND(ISBLANK(Q23),ISBLANK(P23)),"",VLOOKUP(BH23,Materialliste!$A$2:$B$1615,2,FALSE)))</f>
        <v>1250</v>
      </c>
      <c r="S23" s="319">
        <v>2.1</v>
      </c>
      <c r="T23" s="320" t="s">
        <v>1129</v>
      </c>
      <c r="U23" s="355">
        <f>IF(AND(ISBLANK(S23),ISTEXT(T23)),"t2?",IF(AND(ISBLANK(T23),ISBLANK(S23)),"",VLOOKUP(BI23,Materialliste!$A$2:$B$1615,2,FALSE)))</f>
        <v>1250</v>
      </c>
      <c r="V23" s="319">
        <v>3</v>
      </c>
      <c r="W23" s="320" t="s">
        <v>600</v>
      </c>
      <c r="X23" s="355">
        <f>IF(AND(ISBLANK(V23),ISTEXT(W23)),"t3?",IF(AND(ISBLANK(W23),ISBLANK(V23)),"",VLOOKUP(BJ23,Materialliste!$A$2:$B$1615,2,FALSE)))</f>
        <v>350</v>
      </c>
      <c r="Y23" s="443" t="s">
        <v>1925</v>
      </c>
      <c r="Z23" s="346">
        <f t="shared" si="0"/>
        <v>2.2800000000000002</v>
      </c>
      <c r="AA23" s="347">
        <f t="shared" si="11"/>
        <v>1.3318181818181818</v>
      </c>
      <c r="AB23" s="454">
        <f t="shared" si="12"/>
        <v>5.5797818181818188</v>
      </c>
      <c r="AC23" s="348">
        <f t="shared" si="13"/>
        <v>7.2420000000000009</v>
      </c>
      <c r="AD23" s="323">
        <f t="shared" si="1"/>
        <v>900</v>
      </c>
      <c r="AE23" s="349">
        <f t="shared" si="14"/>
        <v>3.9058472727272728</v>
      </c>
      <c r="AF23" s="480">
        <f t="shared" si="15"/>
        <v>4.9497474683058327</v>
      </c>
      <c r="AG23" s="482">
        <f t="shared" si="16"/>
        <v>5.0719818611663037</v>
      </c>
      <c r="AH23" s="461" t="str">
        <f t="shared" si="2"/>
        <v>39D 1979-2 !</v>
      </c>
      <c r="AI23" s="350">
        <f t="shared" si="17"/>
        <v>8</v>
      </c>
      <c r="AJ23" s="350">
        <f t="shared" si="18"/>
        <v>50</v>
      </c>
      <c r="AK23" s="350">
        <f t="shared" si="19"/>
        <v>8</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TL 4225-AS30/30</v>
      </c>
      <c r="BJ23" s="473" t="str">
        <f t="shared" si="5"/>
        <v>CR270LA-EG12/12</v>
      </c>
      <c r="BM23" s="474">
        <f t="shared" si="6"/>
        <v>3</v>
      </c>
      <c r="BN23" s="475">
        <f>LARGE(BO23:BQ23,2)</f>
        <v>2.1</v>
      </c>
      <c r="BO23" s="474">
        <f t="shared" si="7"/>
        <v>2</v>
      </c>
      <c r="BP23" s="474">
        <f t="shared" si="8"/>
        <v>2.1</v>
      </c>
      <c r="BQ23" s="474">
        <f t="shared" si="9"/>
        <v>3</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1979-2 !</v>
      </c>
      <c r="CL23" s="306" t="str">
        <f t="shared" si="31"/>
        <v>39D 1978-2</v>
      </c>
    </row>
    <row r="24" spans="1:90" ht="33" customHeight="1">
      <c r="A24" s="923"/>
      <c r="B24" s="281"/>
      <c r="C24" s="332">
        <v>7.1152800000000003</v>
      </c>
      <c r="D24" s="333" t="s">
        <v>1944</v>
      </c>
      <c r="E24" s="334" t="s">
        <v>1188</v>
      </c>
      <c r="F24" s="335" t="s">
        <v>1937</v>
      </c>
      <c r="G24" s="336" t="s">
        <v>1929</v>
      </c>
      <c r="H24" s="337" t="s">
        <v>1938</v>
      </c>
      <c r="I24" s="479" t="s">
        <v>1188</v>
      </c>
      <c r="J24" s="338">
        <v>108.88</v>
      </c>
      <c r="K24" s="339">
        <v>387.05</v>
      </c>
      <c r="L24" s="340">
        <v>75.87</v>
      </c>
      <c r="M24" s="342" t="s">
        <v>1934</v>
      </c>
      <c r="N24" s="342" t="s">
        <v>1939</v>
      </c>
      <c r="O24" s="342" t="s">
        <v>1188</v>
      </c>
      <c r="P24" s="319">
        <v>2.1</v>
      </c>
      <c r="Q24" s="320" t="s">
        <v>1129</v>
      </c>
      <c r="R24" s="355">
        <f>IF(AND(ISBLANK(P24),ISTEXT(Q24)),"t1?",IF(AND(ISBLANK(Q24),ISBLANK(P24)),"",VLOOKUP(BH24,Materialliste!$A$2:$B$1615,2,FALSE)))</f>
        <v>1250</v>
      </c>
      <c r="S24" s="319">
        <v>2</v>
      </c>
      <c r="T24" s="320" t="s">
        <v>1129</v>
      </c>
      <c r="U24" s="355">
        <f>IF(AND(ISBLANK(S24),ISTEXT(T24)),"t2?",IF(AND(ISBLANK(T24),ISBLANK(S24)),"",VLOOKUP(BI24,Materialliste!$A$2:$B$1615,2,FALSE)))</f>
        <v>1250</v>
      </c>
      <c r="V24" s="319"/>
      <c r="W24" s="320"/>
      <c r="X24" s="355" t="str">
        <f>IF(AND(ISBLANK(V24),ISTEXT(W24)),"t3?",IF(AND(ISBLANK(W24),ISBLANK(V24)),"",VLOOKUP(BJ24,Materialliste!$A$2:$B$1615,2,FALSE)))</f>
        <v/>
      </c>
      <c r="Y24" s="443" t="s">
        <v>1925</v>
      </c>
      <c r="Z24" s="346">
        <f t="shared" si="0"/>
        <v>2.02</v>
      </c>
      <c r="AA24" s="347">
        <f t="shared" si="11"/>
        <v>1.2787878787878788</v>
      </c>
      <c r="AB24" s="454">
        <f t="shared" si="12"/>
        <v>4.9532484848484861</v>
      </c>
      <c r="AC24" s="348">
        <f t="shared" si="13"/>
        <v>6.9105000000000008</v>
      </c>
      <c r="AD24" s="323">
        <f t="shared" si="1"/>
        <v>852.17391304347825</v>
      </c>
      <c r="AE24" s="349">
        <f t="shared" si="14"/>
        <v>3.46727393939394</v>
      </c>
      <c r="AF24" s="480">
        <f t="shared" si="15"/>
        <v>4.9497474683058327</v>
      </c>
      <c r="AG24" s="482" t="str">
        <f t="shared" si="16"/>
        <v/>
      </c>
      <c r="AH24" s="461" t="str">
        <f t="shared" si="2"/>
        <v>39D 1978-2</v>
      </c>
      <c r="AI24" s="350">
        <f t="shared" si="17"/>
        <v>8</v>
      </c>
      <c r="AJ24" s="350">
        <f t="shared" si="18"/>
        <v>50</v>
      </c>
      <c r="AK24" s="350">
        <f t="shared" si="19"/>
        <v>8</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Ja</v>
      </c>
      <c r="BH24" s="473" t="str">
        <f t="shared" si="3"/>
        <v>TL 4225-AS30/30</v>
      </c>
      <c r="BI24" s="473" t="str">
        <f t="shared" si="4"/>
        <v>TL 4225-AS30/30</v>
      </c>
      <c r="BJ24" s="473">
        <f t="shared" si="5"/>
        <v>0</v>
      </c>
      <c r="BM24" s="474">
        <f t="shared" si="6"/>
        <v>2.1</v>
      </c>
      <c r="BN24" s="475">
        <f t="shared" si="22"/>
        <v>2</v>
      </c>
      <c r="BO24" s="474">
        <f t="shared" si="7"/>
        <v>2.1</v>
      </c>
      <c r="BP24" s="474">
        <f t="shared" si="8"/>
        <v>2</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3"/>
      <c r="B25" s="281"/>
      <c r="C25" s="332">
        <v>7.1152899999999999</v>
      </c>
      <c r="D25" s="333" t="s">
        <v>1945</v>
      </c>
      <c r="E25" s="334" t="s">
        <v>1188</v>
      </c>
      <c r="F25" s="335" t="s">
        <v>1937</v>
      </c>
      <c r="G25" s="336" t="s">
        <v>1929</v>
      </c>
      <c r="H25" s="337" t="s">
        <v>1938</v>
      </c>
      <c r="I25" s="479" t="s">
        <v>1188</v>
      </c>
      <c r="J25" s="338">
        <v>146.27000000000001</v>
      </c>
      <c r="K25" s="339">
        <v>380.12</v>
      </c>
      <c r="L25" s="340">
        <v>99</v>
      </c>
      <c r="M25" s="342" t="s">
        <v>1934</v>
      </c>
      <c r="N25" s="342" t="s">
        <v>1939</v>
      </c>
      <c r="O25" s="342" t="s">
        <v>1188</v>
      </c>
      <c r="P25" s="319">
        <v>2.1</v>
      </c>
      <c r="Q25" s="320" t="s">
        <v>1129</v>
      </c>
      <c r="R25" s="355">
        <f>IF(AND(ISBLANK(P25),ISTEXT(Q25)),"t1?",IF(AND(ISBLANK(Q25),ISBLANK(P25)),"",VLOOKUP(BH25,Materialliste!$A$2:$B$1615,2,FALSE)))</f>
        <v>1250</v>
      </c>
      <c r="S25" s="319">
        <v>2</v>
      </c>
      <c r="T25" s="320" t="s">
        <v>1129</v>
      </c>
      <c r="U25" s="355">
        <f>IF(AND(ISBLANK(S25),ISTEXT(T25)),"t2?",IF(AND(ISBLANK(T25),ISBLANK(S25)),"",VLOOKUP(BI25,Materialliste!$A$2:$B$1615,2,FALSE)))</f>
        <v>1250</v>
      </c>
      <c r="V25" s="319"/>
      <c r="W25" s="320"/>
      <c r="X25" s="355" t="str">
        <f>IF(AND(ISBLANK(V25),ISTEXT(W25)),"t3?",IF(AND(ISBLANK(W25),ISBLANK(V25)),"",VLOOKUP(BJ25,Materialliste!$A$2:$B$1615,2,FALSE)))</f>
        <v/>
      </c>
      <c r="Y25" s="443" t="s">
        <v>1925</v>
      </c>
      <c r="Z25" s="346">
        <f t="shared" si="0"/>
        <v>2.02</v>
      </c>
      <c r="AA25" s="347">
        <f t="shared" si="11"/>
        <v>1.2787878787878788</v>
      </c>
      <c r="AB25" s="454">
        <f t="shared" si="12"/>
        <v>4.9532484848484861</v>
      </c>
      <c r="AC25" s="348">
        <f t="shared" si="13"/>
        <v>6.9105000000000008</v>
      </c>
      <c r="AD25" s="323">
        <f t="shared" si="1"/>
        <v>852.17391304347825</v>
      </c>
      <c r="AE25" s="349">
        <f t="shared" si="14"/>
        <v>3.46727393939394</v>
      </c>
      <c r="AF25" s="480">
        <f t="shared" si="15"/>
        <v>4.9497474683058327</v>
      </c>
      <c r="AG25" s="482" t="str">
        <f t="shared" si="16"/>
        <v/>
      </c>
      <c r="AH25" s="461" t="str">
        <f t="shared" si="2"/>
        <v>39D 1978-2</v>
      </c>
      <c r="AI25" s="350">
        <f t="shared" si="17"/>
        <v>8</v>
      </c>
      <c r="AJ25" s="350">
        <f t="shared" si="18"/>
        <v>50</v>
      </c>
      <c r="AK25" s="350">
        <f t="shared" si="19"/>
        <v>8</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Ja</v>
      </c>
      <c r="BH25" s="473" t="str">
        <f t="shared" si="3"/>
        <v>TL 4225-AS30/30</v>
      </c>
      <c r="BI25" s="473" t="str">
        <f t="shared" si="4"/>
        <v>TL 4225-AS30/30</v>
      </c>
      <c r="BJ25" s="473">
        <f t="shared" si="5"/>
        <v>0</v>
      </c>
      <c r="BM25" s="474">
        <f t="shared" si="6"/>
        <v>2.1</v>
      </c>
      <c r="BN25" s="475">
        <f t="shared" si="22"/>
        <v>2</v>
      </c>
      <c r="BO25" s="474">
        <f t="shared" si="7"/>
        <v>2.1</v>
      </c>
      <c r="BP25" s="474">
        <f t="shared" si="8"/>
        <v>2</v>
      </c>
      <c r="BQ25" s="474">
        <f t="shared" si="9"/>
        <v>0</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923"/>
      <c r="B26" s="281"/>
      <c r="C26" s="510">
        <v>7.1153000000000004</v>
      </c>
      <c r="D26" s="333" t="s">
        <v>1946</v>
      </c>
      <c r="E26" s="334" t="s">
        <v>1188</v>
      </c>
      <c r="F26" s="335" t="s">
        <v>1937</v>
      </c>
      <c r="G26" s="336" t="s">
        <v>1929</v>
      </c>
      <c r="H26" s="337" t="s">
        <v>1938</v>
      </c>
      <c r="I26" s="479" t="s">
        <v>1188</v>
      </c>
      <c r="J26" s="338">
        <v>-208.1</v>
      </c>
      <c r="K26" s="339">
        <v>569.99</v>
      </c>
      <c r="L26" s="340">
        <v>269.13</v>
      </c>
      <c r="M26" s="342" t="s">
        <v>1934</v>
      </c>
      <c r="N26" s="342" t="s">
        <v>1932</v>
      </c>
      <c r="O26" s="342" t="s">
        <v>1188</v>
      </c>
      <c r="P26" s="319">
        <v>2.1</v>
      </c>
      <c r="Q26" s="320" t="s">
        <v>1129</v>
      </c>
      <c r="R26" s="355">
        <f>IF(AND(ISBLANK(P26),ISTEXT(Q26)),"t1?",IF(AND(ISBLANK(Q26),ISBLANK(P26)),"",VLOOKUP(BH26,Materialliste!$A$2:$B$1615,2,FALSE)))</f>
        <v>1250</v>
      </c>
      <c r="S26" s="319">
        <v>1.4</v>
      </c>
      <c r="T26" s="320" t="s">
        <v>908</v>
      </c>
      <c r="U26" s="355">
        <f>IF(AND(ISBLANK(S26),ISTEXT(T26)),"t2?",IF(AND(ISBLANK(T26),ISBLANK(S26)),"",VLOOKUP(BI26,Materialliste!$A$2:$B$1615,2,FALSE)))</f>
        <v>720</v>
      </c>
      <c r="V26" s="319"/>
      <c r="W26" s="320"/>
      <c r="X26" s="355" t="str">
        <f>IF(AND(ISBLANK(V26),ISTEXT(W26)),"t3?",IF(AND(ISBLANK(W26),ISBLANK(V26)),"",VLOOKUP(BJ26,Materialliste!$A$2:$B$1615,2,FALSE)))</f>
        <v/>
      </c>
      <c r="Y26" s="443" t="s">
        <v>1925</v>
      </c>
      <c r="Z26" s="346">
        <f t="shared" si="0"/>
        <v>1.54</v>
      </c>
      <c r="AA26" s="347">
        <f t="shared" si="11"/>
        <v>1.1984848484848485</v>
      </c>
      <c r="AB26" s="454">
        <f t="shared" si="12"/>
        <v>3.7762115151515152</v>
      </c>
      <c r="AC26" s="348">
        <f t="shared" si="13"/>
        <v>6.9191700000000003</v>
      </c>
      <c r="AD26" s="323">
        <f>IF(OR(ISBLANK(G26),Z26="BLECH?"),"",IF(AND(BT26="J",G26="C"),60,IF(G26="B",60,IF(G26="R",150,IF(G26="S",90,IF(AND(G26="m",BT26="n"),350,IF(AND(G26="m",BT26="j"),50,MAX(MIN((((P26+S26+V26-1.4)*(600/4.6))+200)+BU26,900),200))))))))</f>
        <v>773.91304347826087</v>
      </c>
      <c r="AE26" s="349">
        <f t="shared" si="14"/>
        <v>2.6433480606060606</v>
      </c>
      <c r="AF26" s="480">
        <f t="shared" si="15"/>
        <v>4.141255848169731</v>
      </c>
      <c r="AG26" s="482" t="str">
        <f t="shared" si="16"/>
        <v/>
      </c>
      <c r="AH26" s="461" t="str">
        <f t="shared" si="2"/>
        <v>39D 1978-2</v>
      </c>
      <c r="AI26" s="350">
        <f t="shared" si="17"/>
        <v>6</v>
      </c>
      <c r="AJ26" s="350">
        <f t="shared" si="18"/>
        <v>50</v>
      </c>
      <c r="AK26" s="350">
        <f t="shared" si="19"/>
        <v>6</v>
      </c>
      <c r="AL26" s="351">
        <f t="shared" si="20"/>
        <v>50</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TL 4225-AS30/30</v>
      </c>
      <c r="BI26" s="473" t="str">
        <f t="shared" si="4"/>
        <v>CR570Y780T-CP-GI40/40</v>
      </c>
      <c r="BJ26" s="473">
        <f t="shared" si="5"/>
        <v>0</v>
      </c>
      <c r="BM26" s="474">
        <f t="shared" si="6"/>
        <v>2.1</v>
      </c>
      <c r="BN26" s="475">
        <f t="shared" si="22"/>
        <v>1.4</v>
      </c>
      <c r="BO26" s="474">
        <f t="shared" si="7"/>
        <v>2.1</v>
      </c>
      <c r="BP26" s="474">
        <f t="shared" si="8"/>
        <v>1.4</v>
      </c>
      <c r="BQ26" s="474">
        <f t="shared" si="9"/>
        <v>0</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923"/>
      <c r="B27" s="281"/>
      <c r="C27" s="332">
        <v>7.11531</v>
      </c>
      <c r="D27" s="333" t="s">
        <v>1947</v>
      </c>
      <c r="E27" s="334" t="s">
        <v>1188</v>
      </c>
      <c r="F27" s="335" t="s">
        <v>1937</v>
      </c>
      <c r="G27" s="336" t="s">
        <v>1929</v>
      </c>
      <c r="H27" s="337" t="s">
        <v>1938</v>
      </c>
      <c r="I27" s="479" t="s">
        <v>1188</v>
      </c>
      <c r="J27" s="338">
        <v>-235.5</v>
      </c>
      <c r="K27" s="339">
        <v>468.68</v>
      </c>
      <c r="L27" s="340">
        <v>268.85000000000002</v>
      </c>
      <c r="M27" s="342" t="s">
        <v>1934</v>
      </c>
      <c r="N27" s="342" t="s">
        <v>1932</v>
      </c>
      <c r="O27" s="342" t="s">
        <v>1188</v>
      </c>
      <c r="P27" s="319">
        <v>2.1</v>
      </c>
      <c r="Q27" s="320" t="s">
        <v>1129</v>
      </c>
      <c r="R27" s="355">
        <f>IF(AND(ISBLANK(P27),ISTEXT(Q27)),"t1?",IF(AND(ISBLANK(Q27),ISBLANK(P27)),"",VLOOKUP(BH27,Materialliste!$A$2:$B$1615,2,FALSE)))</f>
        <v>1250</v>
      </c>
      <c r="S27" s="319">
        <v>1.4</v>
      </c>
      <c r="T27" s="320" t="s">
        <v>908</v>
      </c>
      <c r="U27" s="355">
        <f>IF(AND(ISBLANK(S27),ISTEXT(T27)),"t2?",IF(AND(ISBLANK(T27),ISBLANK(S27)),"",VLOOKUP(BI27,Materialliste!$A$2:$B$1615,2,FALSE)))</f>
        <v>720</v>
      </c>
      <c r="V27" s="319"/>
      <c r="W27" s="320"/>
      <c r="X27" s="355" t="str">
        <f>IF(AND(ISBLANK(V27),ISTEXT(W27)),"t3?",IF(AND(ISBLANK(W27),ISBLANK(V27)),"",VLOOKUP(BJ27,Materialliste!$A$2:$B$1615,2,FALSE)))</f>
        <v/>
      </c>
      <c r="Y27" s="443" t="s">
        <v>1925</v>
      </c>
      <c r="Z27" s="346">
        <f t="shared" si="0"/>
        <v>1.54</v>
      </c>
      <c r="AA27" s="347">
        <f t="shared" si="11"/>
        <v>1.1984848484848485</v>
      </c>
      <c r="AB27" s="454">
        <f t="shared" si="12"/>
        <v>3.7762115151515152</v>
      </c>
      <c r="AC27" s="348">
        <f t="shared" si="13"/>
        <v>6.9191700000000003</v>
      </c>
      <c r="AD27" s="323">
        <f t="shared" ref="AD27:AD43" si="32">IF(OR(ISBLANK(G27),Z27="BLECH?"),"",IF(AND(BT27="J",G27="C"),60,IF(G27="B",60,IF(G27="R",150,IF(G27="S",90,IF(AND(G27="m",BT27="n"),350,IF(AND(G27="m",BT27="j"),50,MAX(MIN((((P27+S27+V27-1.4)*(600/4.6))+200)+BU27,900),200))))))))</f>
        <v>773.91304347826087</v>
      </c>
      <c r="AE27" s="349">
        <f t="shared" si="14"/>
        <v>2.6433480606060606</v>
      </c>
      <c r="AF27" s="480">
        <f t="shared" si="15"/>
        <v>4.141255848169731</v>
      </c>
      <c r="AG27" s="482" t="str">
        <f t="shared" si="16"/>
        <v/>
      </c>
      <c r="AH27" s="461" t="str">
        <f t="shared" si="2"/>
        <v>39D 1978-2</v>
      </c>
      <c r="AI27" s="350">
        <f t="shared" si="17"/>
        <v>6</v>
      </c>
      <c r="AJ27" s="350">
        <f t="shared" si="18"/>
        <v>50</v>
      </c>
      <c r="AK27" s="350">
        <f t="shared" si="19"/>
        <v>6</v>
      </c>
      <c r="AL27" s="351">
        <f t="shared" si="20"/>
        <v>50</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TL 4225-AS30/30</v>
      </c>
      <c r="BI27" s="473" t="str">
        <f t="shared" si="4"/>
        <v>CR570Y780T-CP-GI40/40</v>
      </c>
      <c r="BJ27" s="473">
        <f t="shared" si="5"/>
        <v>0</v>
      </c>
      <c r="BM27" s="474">
        <f t="shared" si="6"/>
        <v>2.1</v>
      </c>
      <c r="BN27" s="475">
        <f t="shared" si="22"/>
        <v>1.4</v>
      </c>
      <c r="BO27" s="474">
        <f t="shared" si="7"/>
        <v>2.1</v>
      </c>
      <c r="BP27" s="474">
        <f t="shared" si="8"/>
        <v>1.4</v>
      </c>
      <c r="BQ27" s="474">
        <f t="shared" si="9"/>
        <v>0</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923"/>
      <c r="B28" s="281"/>
      <c r="C28" s="332">
        <v>7.1153199999999996</v>
      </c>
      <c r="D28" s="333" t="s">
        <v>1948</v>
      </c>
      <c r="E28" s="334" t="s">
        <v>1188</v>
      </c>
      <c r="F28" s="335" t="s">
        <v>1937</v>
      </c>
      <c r="G28" s="336" t="s">
        <v>1929</v>
      </c>
      <c r="H28" s="337" t="s">
        <v>1930</v>
      </c>
      <c r="I28" s="476" t="s">
        <v>1188</v>
      </c>
      <c r="J28" s="338">
        <v>145.88999999999999</v>
      </c>
      <c r="K28" s="339">
        <v>404.12</v>
      </c>
      <c r="L28" s="340">
        <v>33.549999999999997</v>
      </c>
      <c r="M28" s="342" t="s">
        <v>1934</v>
      </c>
      <c r="N28" s="342" t="s">
        <v>1939</v>
      </c>
      <c r="O28" s="342" t="s">
        <v>1188</v>
      </c>
      <c r="P28" s="319">
        <v>2.1</v>
      </c>
      <c r="Q28" s="320" t="s">
        <v>1129</v>
      </c>
      <c r="R28" s="355">
        <f>IF(AND(ISBLANK(P28),ISTEXT(Q28)),"t1?",IF(AND(ISBLANK(Q28),ISBLANK(P28)),"",VLOOKUP(BH28,Materialliste!$A$2:$B$1615,2,FALSE)))</f>
        <v>1250</v>
      </c>
      <c r="S28" s="319">
        <v>2</v>
      </c>
      <c r="T28" s="320" t="s">
        <v>1129</v>
      </c>
      <c r="U28" s="355">
        <f>IF(AND(ISBLANK(S28),ISTEXT(T28)),"t2?",IF(AND(ISBLANK(T28),ISBLANK(S28)),"",VLOOKUP(BI28,Materialliste!$A$2:$B$1615,2,FALSE)))</f>
        <v>1250</v>
      </c>
      <c r="V28" s="319"/>
      <c r="W28" s="356"/>
      <c r="X28" s="355" t="str">
        <f>IF(AND(ISBLANK(V28),ISTEXT(W28)),"t3?",IF(AND(ISBLANK(W28),ISBLANK(V28)),"",VLOOKUP(BJ28,Materialliste!$A$2:$B$1615,2,FALSE)))</f>
        <v/>
      </c>
      <c r="Y28" s="443" t="s">
        <v>1925</v>
      </c>
      <c r="Z28" s="346">
        <f t="shared" si="0"/>
        <v>2.02</v>
      </c>
      <c r="AA28" s="347">
        <f t="shared" si="11"/>
        <v>1.2787878787878788</v>
      </c>
      <c r="AB28" s="454">
        <f t="shared" si="12"/>
        <v>4.9532484848484861</v>
      </c>
      <c r="AC28" s="348">
        <f t="shared" si="13"/>
        <v>6.9105000000000008</v>
      </c>
      <c r="AD28" s="323">
        <f t="shared" si="32"/>
        <v>852.17391304347825</v>
      </c>
      <c r="AE28" s="349">
        <f t="shared" si="14"/>
        <v>3.46727393939394</v>
      </c>
      <c r="AF28" s="480">
        <f t="shared" si="15"/>
        <v>4.9497474683058327</v>
      </c>
      <c r="AG28" s="482" t="str">
        <f t="shared" si="16"/>
        <v/>
      </c>
      <c r="AH28" s="461" t="str">
        <f t="shared" si="2"/>
        <v>39D 1978-2</v>
      </c>
      <c r="AI28" s="350">
        <f t="shared" si="17"/>
        <v>8</v>
      </c>
      <c r="AJ28" s="350">
        <f t="shared" si="18"/>
        <v>50</v>
      </c>
      <c r="AK28" s="350">
        <f t="shared" si="19"/>
        <v>8</v>
      </c>
      <c r="AL28" s="351">
        <f t="shared" si="20"/>
        <v>50</v>
      </c>
      <c r="AM28" s="696"/>
      <c r="AN28" s="697"/>
      <c r="AO28" s="352"/>
      <c r="AP28" s="504"/>
      <c r="AQ28" s="353"/>
      <c r="AR28" s="353"/>
      <c r="AS28" s="353"/>
      <c r="AT28" s="353"/>
      <c r="AU28" s="353"/>
      <c r="AV28" s="353"/>
      <c r="AW28" s="353"/>
      <c r="AX28" s="353"/>
      <c r="AY28" s="353"/>
      <c r="AZ28" s="353"/>
      <c r="BA28" s="353"/>
      <c r="BB28" s="354"/>
      <c r="BC28" s="282"/>
      <c r="BE28" s="282"/>
      <c r="BF28" s="353" t="str">
        <f t="shared" si="21"/>
        <v>Ja</v>
      </c>
      <c r="BH28" s="473" t="str">
        <f t="shared" si="3"/>
        <v>TL 4225-AS30/30</v>
      </c>
      <c r="BI28" s="473" t="str">
        <f t="shared" si="4"/>
        <v>TL 4225-AS30/30</v>
      </c>
      <c r="BJ28" s="473">
        <f t="shared" si="5"/>
        <v>0</v>
      </c>
      <c r="BM28" s="474">
        <f t="shared" si="6"/>
        <v>2.1</v>
      </c>
      <c r="BN28" s="475">
        <f t="shared" si="22"/>
        <v>2</v>
      </c>
      <c r="BO28" s="474">
        <f t="shared" si="7"/>
        <v>2.1</v>
      </c>
      <c r="BP28" s="474">
        <f t="shared" si="8"/>
        <v>2</v>
      </c>
      <c r="BQ28" s="474">
        <f t="shared" si="9"/>
        <v>0</v>
      </c>
      <c r="BR28" s="330"/>
      <c r="BS28" s="298" t="b">
        <f t="shared" si="23"/>
        <v>1</v>
      </c>
      <c r="BT28" s="282" t="str">
        <f>_xlfn.IFNA(IF(MATCH(Q28,Materialliste!$A$1563:$A$1615,0)&gt;=1,"J"),"N")</f>
        <v>N</v>
      </c>
      <c r="BU28" s="298">
        <f t="shared" si="24"/>
        <v>300</v>
      </c>
      <c r="BV28" s="298">
        <f t="shared" si="25"/>
        <v>0.7</v>
      </c>
      <c r="BW28" s="298">
        <f t="shared" si="26"/>
        <v>0.85</v>
      </c>
      <c r="BX28" s="298" t="b">
        <f t="shared" si="10"/>
        <v>0</v>
      </c>
      <c r="BY28" s="298">
        <f t="shared" si="27"/>
        <v>0</v>
      </c>
      <c r="BZ28" s="298" t="b">
        <f t="shared" si="28"/>
        <v>1</v>
      </c>
      <c r="CA28" s="298">
        <f t="shared" si="29"/>
        <v>-0.7</v>
      </c>
      <c r="CB28" s="331"/>
      <c r="CH28" s="306" t="str">
        <f t="shared" si="30"/>
        <v>39D 1978-2</v>
      </c>
      <c r="CL28" s="306" t="str">
        <f t="shared" si="31"/>
        <v>39D 1978-2</v>
      </c>
    </row>
    <row r="29" spans="1:90" ht="33" customHeight="1">
      <c r="A29" s="923"/>
      <c r="B29" s="281"/>
      <c r="C29" s="332">
        <v>7.1153300000000002</v>
      </c>
      <c r="D29" s="333" t="s">
        <v>1949</v>
      </c>
      <c r="E29" s="334" t="s">
        <v>1188</v>
      </c>
      <c r="F29" s="335" t="s">
        <v>1937</v>
      </c>
      <c r="G29" s="336" t="s">
        <v>1929</v>
      </c>
      <c r="H29" s="337" t="s">
        <v>1930</v>
      </c>
      <c r="I29" s="476" t="s">
        <v>1188</v>
      </c>
      <c r="J29" s="338">
        <v>-253</v>
      </c>
      <c r="K29" s="339">
        <v>471.62</v>
      </c>
      <c r="L29" s="340">
        <v>169.5</v>
      </c>
      <c r="M29" s="342" t="s">
        <v>1931</v>
      </c>
      <c r="N29" s="342" t="s">
        <v>1932</v>
      </c>
      <c r="O29" s="342" t="s">
        <v>1188</v>
      </c>
      <c r="P29" s="319">
        <v>2.1</v>
      </c>
      <c r="Q29" s="320" t="s">
        <v>1129</v>
      </c>
      <c r="R29" s="355">
        <f>IF(AND(ISBLANK(P29),ISTEXT(Q29)),"t1?",IF(AND(ISBLANK(Q29),ISBLANK(P29)),"",VLOOKUP(BH29,Materialliste!$A$2:$B$1615,2,FALSE)))</f>
        <v>1250</v>
      </c>
      <c r="S29" s="319">
        <v>1.4</v>
      </c>
      <c r="T29" s="320" t="s">
        <v>908</v>
      </c>
      <c r="U29" s="355">
        <f>IF(AND(ISBLANK(S29),ISTEXT(T29)),"t2?",IF(AND(ISBLANK(T29),ISBLANK(S29)),"",VLOOKUP(BI29,Materialliste!$A$2:$B$1615,2,FALSE)))</f>
        <v>720</v>
      </c>
      <c r="V29" s="319"/>
      <c r="W29" s="356"/>
      <c r="X29" s="355" t="str">
        <f>IF(AND(ISBLANK(V29),ISTEXT(W29)),"t3?",IF(AND(ISBLANK(W29),ISBLANK(V29)),"",VLOOKUP(BJ29,Materialliste!$A$2:$B$1615,2,FALSE)))</f>
        <v/>
      </c>
      <c r="Y29" s="443" t="s">
        <v>1925</v>
      </c>
      <c r="Z29" s="346">
        <f t="shared" si="0"/>
        <v>1.54</v>
      </c>
      <c r="AA29" s="347">
        <f t="shared" si="11"/>
        <v>1.1984848484848485</v>
      </c>
      <c r="AB29" s="454">
        <f t="shared" si="12"/>
        <v>3.7762115151515152</v>
      </c>
      <c r="AC29" s="348">
        <f t="shared" si="13"/>
        <v>6.9191700000000003</v>
      </c>
      <c r="AD29" s="323">
        <f t="shared" si="32"/>
        <v>773.91304347826087</v>
      </c>
      <c r="AE29" s="349">
        <f t="shared" si="14"/>
        <v>2.6433480606060606</v>
      </c>
      <c r="AF29" s="480">
        <f t="shared" si="15"/>
        <v>4.141255848169731</v>
      </c>
      <c r="AG29" s="482" t="str">
        <f t="shared" si="16"/>
        <v/>
      </c>
      <c r="AH29" s="461" t="str">
        <f t="shared" si="2"/>
        <v>39D 1978-2</v>
      </c>
      <c r="AI29" s="350">
        <f t="shared" si="17"/>
        <v>6</v>
      </c>
      <c r="AJ29" s="350">
        <f t="shared" si="18"/>
        <v>50</v>
      </c>
      <c r="AK29" s="350">
        <f t="shared" si="19"/>
        <v>6</v>
      </c>
      <c r="AL29" s="351">
        <f t="shared" si="20"/>
        <v>50</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TL 4225-AS30/30</v>
      </c>
      <c r="BI29" s="473" t="str">
        <f t="shared" si="4"/>
        <v>CR570Y780T-CP-GI40/40</v>
      </c>
      <c r="BJ29" s="473">
        <f t="shared" si="5"/>
        <v>0</v>
      </c>
      <c r="BM29" s="474">
        <f t="shared" si="6"/>
        <v>2.1</v>
      </c>
      <c r="BN29" s="475">
        <f t="shared" si="22"/>
        <v>1.4</v>
      </c>
      <c r="BO29" s="474">
        <f t="shared" si="7"/>
        <v>2.1</v>
      </c>
      <c r="BP29" s="474">
        <f t="shared" si="8"/>
        <v>1.4</v>
      </c>
      <c r="BQ29" s="474">
        <f t="shared" si="9"/>
        <v>0</v>
      </c>
      <c r="BR29" s="330"/>
      <c r="BS29" s="298" t="b">
        <f t="shared" si="23"/>
        <v>1</v>
      </c>
      <c r="BT29" s="282" t="str">
        <f>_xlfn.IFNA(IF(MATCH(Q29,Materialliste!$A$1563:$A$1615,0)&gt;=1,"J"),"N")</f>
        <v>N</v>
      </c>
      <c r="BU29" s="298">
        <f t="shared" si="24"/>
        <v>300</v>
      </c>
      <c r="BV29" s="298">
        <f t="shared" si="25"/>
        <v>0.7</v>
      </c>
      <c r="BW29" s="298">
        <f t="shared" si="26"/>
        <v>0.85</v>
      </c>
      <c r="BX29" s="298" t="b">
        <f t="shared" si="10"/>
        <v>0</v>
      </c>
      <c r="BY29" s="298">
        <f t="shared" si="27"/>
        <v>0</v>
      </c>
      <c r="BZ29" s="298" t="b">
        <f t="shared" si="28"/>
        <v>1</v>
      </c>
      <c r="CA29" s="298">
        <f t="shared" si="29"/>
        <v>-0.7</v>
      </c>
      <c r="CB29" s="331"/>
      <c r="CH29" s="306" t="str">
        <f t="shared" si="30"/>
        <v>39D 1978-2</v>
      </c>
      <c r="CL29" s="306" t="str">
        <f t="shared" si="31"/>
        <v>39D 1978-2</v>
      </c>
    </row>
    <row r="30" spans="1:90" ht="33" customHeight="1">
      <c r="A30" s="923"/>
      <c r="B30" s="281"/>
      <c r="C30" s="332">
        <v>7.1153399999999998</v>
      </c>
      <c r="D30" s="333" t="s">
        <v>1950</v>
      </c>
      <c r="E30" s="334" t="s">
        <v>1188</v>
      </c>
      <c r="F30" s="335" t="s">
        <v>1937</v>
      </c>
      <c r="G30" s="336" t="s">
        <v>1929</v>
      </c>
      <c r="H30" s="337" t="s">
        <v>1930</v>
      </c>
      <c r="I30" s="476" t="s">
        <v>1188</v>
      </c>
      <c r="J30" s="338">
        <v>-211.48</v>
      </c>
      <c r="K30" s="339">
        <v>472.77</v>
      </c>
      <c r="L30" s="340">
        <v>169.5</v>
      </c>
      <c r="M30" s="342" t="s">
        <v>1931</v>
      </c>
      <c r="N30" s="342" t="s">
        <v>1932</v>
      </c>
      <c r="O30" s="342" t="s">
        <v>1188</v>
      </c>
      <c r="P30" s="319">
        <v>2.1</v>
      </c>
      <c r="Q30" s="320" t="s">
        <v>1129</v>
      </c>
      <c r="R30" s="355">
        <f>IF(AND(ISBLANK(P30),ISTEXT(Q30)),"t1?",IF(AND(ISBLANK(Q30),ISBLANK(P30)),"",VLOOKUP(BH30,Materialliste!$A$2:$B$1615,2,FALSE)))</f>
        <v>1250</v>
      </c>
      <c r="S30" s="319">
        <v>1.4</v>
      </c>
      <c r="T30" s="320" t="s">
        <v>908</v>
      </c>
      <c r="U30" s="355">
        <f>IF(AND(ISBLANK(S30),ISTEXT(T30)),"t2?",IF(AND(ISBLANK(T30),ISBLANK(S30)),"",VLOOKUP(BI30,Materialliste!$A$2:$B$1615,2,FALSE)))</f>
        <v>720</v>
      </c>
      <c r="V30" s="319"/>
      <c r="W30" s="320"/>
      <c r="X30" s="355" t="str">
        <f>IF(AND(ISBLANK(V30),ISTEXT(W30)),"t3?",IF(AND(ISBLANK(W30),ISBLANK(V30)),"",VLOOKUP(BJ30,Materialliste!$A$2:$B$1615,2,FALSE)))</f>
        <v/>
      </c>
      <c r="Y30" s="443" t="s">
        <v>1925</v>
      </c>
      <c r="Z30" s="346">
        <f t="shared" si="0"/>
        <v>1.54</v>
      </c>
      <c r="AA30" s="347">
        <f t="shared" si="11"/>
        <v>1.1984848484848485</v>
      </c>
      <c r="AB30" s="454">
        <f t="shared" si="12"/>
        <v>3.7762115151515152</v>
      </c>
      <c r="AC30" s="348">
        <f t="shared" si="13"/>
        <v>6.9191700000000003</v>
      </c>
      <c r="AD30" s="323">
        <f t="shared" si="32"/>
        <v>773.91304347826087</v>
      </c>
      <c r="AE30" s="349">
        <f t="shared" si="14"/>
        <v>2.6433480606060606</v>
      </c>
      <c r="AF30" s="480">
        <f t="shared" si="15"/>
        <v>4.141255848169731</v>
      </c>
      <c r="AG30" s="482" t="str">
        <f t="shared" si="16"/>
        <v/>
      </c>
      <c r="AH30" s="461" t="str">
        <f t="shared" si="2"/>
        <v>39D 1978-2</v>
      </c>
      <c r="AI30" s="350">
        <f t="shared" si="17"/>
        <v>6</v>
      </c>
      <c r="AJ30" s="350">
        <f t="shared" si="18"/>
        <v>50</v>
      </c>
      <c r="AK30" s="350">
        <f t="shared" si="19"/>
        <v>6</v>
      </c>
      <c r="AL30" s="351">
        <f t="shared" si="20"/>
        <v>50</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TL 4225-AS30/30</v>
      </c>
      <c r="BI30" s="473" t="str">
        <f t="shared" si="4"/>
        <v>CR570Y780T-CP-GI40/40</v>
      </c>
      <c r="BJ30" s="473">
        <f t="shared" si="5"/>
        <v>0</v>
      </c>
      <c r="BM30" s="474">
        <f t="shared" si="6"/>
        <v>2.1</v>
      </c>
      <c r="BN30" s="475">
        <f t="shared" si="22"/>
        <v>1.4</v>
      </c>
      <c r="BO30" s="474">
        <f t="shared" si="7"/>
        <v>2.1</v>
      </c>
      <c r="BP30" s="474">
        <f t="shared" si="8"/>
        <v>1.4</v>
      </c>
      <c r="BQ30" s="474">
        <f t="shared" si="9"/>
        <v>0</v>
      </c>
      <c r="BR30" s="330"/>
      <c r="BS30" s="298" t="b">
        <f t="shared" si="23"/>
        <v>1</v>
      </c>
      <c r="BT30" s="282" t="str">
        <f>_xlfn.IFNA(IF(MATCH(Q30,Materialliste!$A$1563:$A$1615,0)&gt;=1,"J"),"N")</f>
        <v>N</v>
      </c>
      <c r="BU30" s="298">
        <f t="shared" si="24"/>
        <v>300</v>
      </c>
      <c r="BV30" s="298">
        <f t="shared" si="25"/>
        <v>0.7</v>
      </c>
      <c r="BW30" s="298">
        <f t="shared" si="26"/>
        <v>0.85</v>
      </c>
      <c r="BX30" s="298" t="b">
        <f t="shared" si="10"/>
        <v>0</v>
      </c>
      <c r="BY30" s="298">
        <f t="shared" si="27"/>
        <v>0</v>
      </c>
      <c r="BZ30" s="298" t="b">
        <f t="shared" si="28"/>
        <v>1</v>
      </c>
      <c r="CA30" s="298">
        <f t="shared" si="29"/>
        <v>-0.7</v>
      </c>
      <c r="CB30" s="331"/>
      <c r="CH30" s="306" t="str">
        <f t="shared" si="30"/>
        <v>39D 1978-2</v>
      </c>
      <c r="CL30" s="306" t="str">
        <f t="shared" si="31"/>
        <v>39D 1978-2</v>
      </c>
    </row>
    <row r="31" spans="1:90" ht="33" customHeight="1">
      <c r="A31" s="923"/>
      <c r="B31" s="281"/>
      <c r="C31" s="332">
        <v>7.1153500000000003</v>
      </c>
      <c r="D31" s="333" t="s">
        <v>1951</v>
      </c>
      <c r="E31" s="334" t="s">
        <v>1188</v>
      </c>
      <c r="F31" s="335" t="s">
        <v>1937</v>
      </c>
      <c r="G31" s="336" t="s">
        <v>1929</v>
      </c>
      <c r="H31" s="337" t="s">
        <v>1930</v>
      </c>
      <c r="I31" s="476" t="s">
        <v>1188</v>
      </c>
      <c r="J31" s="338">
        <v>40.090000000000003</v>
      </c>
      <c r="K31" s="339">
        <v>447.97</v>
      </c>
      <c r="L31" s="340">
        <v>104.43</v>
      </c>
      <c r="M31" s="342" t="s">
        <v>1935</v>
      </c>
      <c r="N31" s="342" t="s">
        <v>1934</v>
      </c>
      <c r="O31" s="342" t="s">
        <v>1933</v>
      </c>
      <c r="P31" s="319">
        <v>3</v>
      </c>
      <c r="Q31" s="320" t="s">
        <v>600</v>
      </c>
      <c r="R31" s="355">
        <f>IF(AND(ISBLANK(P31),ISTEXT(Q31)),"t1?",IF(AND(ISBLANK(Q31),ISBLANK(P31)),"",VLOOKUP(BH31,Materialliste!$A$2:$B$1615,2,FALSE)))</f>
        <v>350</v>
      </c>
      <c r="S31" s="319">
        <v>2.1</v>
      </c>
      <c r="T31" s="320" t="s">
        <v>1129</v>
      </c>
      <c r="U31" s="355">
        <f>IF(AND(ISBLANK(S31),ISTEXT(T31)),"t2?",IF(AND(ISBLANK(T31),ISBLANK(S31)),"",VLOOKUP(BI31,Materialliste!$A$2:$B$1615,2,FALSE)))</f>
        <v>1250</v>
      </c>
      <c r="V31" s="319">
        <v>1.5</v>
      </c>
      <c r="W31" s="356" t="s">
        <v>905</v>
      </c>
      <c r="X31" s="355">
        <f>IF(AND(ISBLANK(V31),ISTEXT(W31)),"t3?",IF(AND(ISBLANK(W31),ISBLANK(V31)),"",VLOOKUP(BJ31,Materialliste!$A$2:$B$1615,2,FALSE)))</f>
        <v>720</v>
      </c>
      <c r="Y31" s="443" t="s">
        <v>1925</v>
      </c>
      <c r="Z31" s="346">
        <f t="shared" si="0"/>
        <v>2.2800000000000002</v>
      </c>
      <c r="AA31" s="347">
        <f t="shared" si="11"/>
        <v>1.2515151515151515</v>
      </c>
      <c r="AB31" s="454">
        <f t="shared" si="12"/>
        <v>5.285551515151516</v>
      </c>
      <c r="AC31" s="348">
        <f t="shared" si="13"/>
        <v>8.5200000000000014</v>
      </c>
      <c r="AD31" s="323">
        <f t="shared" si="32"/>
        <v>878.26086956521726</v>
      </c>
      <c r="AE31" s="349">
        <f t="shared" si="14"/>
        <v>5.285551515151516</v>
      </c>
      <c r="AF31" s="480">
        <f t="shared" si="15"/>
        <v>5.0719818611663037</v>
      </c>
      <c r="AG31" s="482">
        <f t="shared" si="16"/>
        <v>4.2866070498705611</v>
      </c>
      <c r="AH31" s="461" t="str">
        <f t="shared" si="2"/>
        <v>39D 1978-2</v>
      </c>
      <c r="AI31" s="350">
        <f t="shared" si="17"/>
        <v>8</v>
      </c>
      <c r="AJ31" s="350">
        <f t="shared" si="18"/>
        <v>50</v>
      </c>
      <c r="AK31" s="350">
        <f t="shared" si="19"/>
        <v>8</v>
      </c>
      <c r="AL31" s="351">
        <f t="shared" si="20"/>
        <v>50</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t="str">
        <f t="shared" si="3"/>
        <v>CR270LA-EG12/12</v>
      </c>
      <c r="BI31" s="473" t="str">
        <f t="shared" si="4"/>
        <v>TL 4225-AS30/30</v>
      </c>
      <c r="BJ31" s="473" t="str">
        <f t="shared" si="5"/>
        <v>CR570Y780T-CP-EG12/12</v>
      </c>
      <c r="BM31" s="474">
        <f t="shared" si="6"/>
        <v>3</v>
      </c>
      <c r="BN31" s="475">
        <f t="shared" si="22"/>
        <v>2.1</v>
      </c>
      <c r="BO31" s="474">
        <f t="shared" si="7"/>
        <v>3</v>
      </c>
      <c r="BP31" s="474">
        <f t="shared" si="8"/>
        <v>2.1</v>
      </c>
      <c r="BQ31" s="474">
        <f t="shared" si="9"/>
        <v>1.5</v>
      </c>
      <c r="BR31" s="330"/>
      <c r="BS31" s="298" t="b">
        <f t="shared" si="23"/>
        <v>0</v>
      </c>
      <c r="BT31" s="282" t="str">
        <f>_xlfn.IFNA(IF(MATCH(Q31,Materialliste!$A$1563:$A$1615,0)&gt;=1,"J"),"N")</f>
        <v>N</v>
      </c>
      <c r="BU31" s="298">
        <f t="shared" si="24"/>
        <v>0</v>
      </c>
      <c r="BV31" s="298">
        <f t="shared" si="25"/>
        <v>1</v>
      </c>
      <c r="BW31" s="298">
        <f t="shared" si="26"/>
        <v>1</v>
      </c>
      <c r="BX31" s="298" t="b">
        <f t="shared" si="10"/>
        <v>0</v>
      </c>
      <c r="BY31" s="298">
        <f t="shared" si="27"/>
        <v>0</v>
      </c>
      <c r="BZ31" s="298" t="b">
        <f t="shared" si="28"/>
        <v>1</v>
      </c>
      <c r="CA31" s="298">
        <f t="shared" si="29"/>
        <v>-0.7</v>
      </c>
      <c r="CB31" s="331"/>
      <c r="CH31" s="306" t="str">
        <f t="shared" si="30"/>
        <v>39D 1978-2</v>
      </c>
      <c r="CL31" s="306" t="str">
        <f t="shared" si="31"/>
        <v>39D 1978-2</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Zylinderdurchmesser [mm]                 (nur für SPZ)</v>
      </c>
      <c r="D44" s="822"/>
      <c r="E44" s="824"/>
      <c r="F44" s="819" t="str">
        <f>IF($E$6="DE","Schweißkraft min. [N]","Welding Force min. [N]")</f>
        <v>Schweißkraft min. [N]</v>
      </c>
      <c r="G44" s="820"/>
      <c r="H44" s="411">
        <f>IF(AND(AN45="JA",ISTEXT(AG47),ISNUMBER(AL47)),(IF(G6="RZ",ROUNDDOWN(MIN(AE19:AE43)*1000,-2),IF(G6="SPZ",ROUNDDOWN(MIN(AE19:AE43)*1000,-2),"Zangentyp?"))),(IF(G6="RZ",ROUNDDOWN(MIN(AB19:AB43)*1000,-2),IF(G6="SPZ",ROUNDDOWN(MIN(AB19:AB43)*1000,-2),"Zangentyp?"))))</f>
        <v>3700</v>
      </c>
      <c r="I44" s="819" t="str">
        <f>IF($E$6="DE","Ausladung [mm]","Distance to Tip [mm]")</f>
        <v>Ausladung [mm]</v>
      </c>
      <c r="J44" s="835"/>
      <c r="K44" s="834"/>
      <c r="L44" s="412"/>
      <c r="M44" s="819" t="str">
        <f>IF($E$6="DE","Zylinderkraft min. [N]","Cyl. Force min. [N]")</f>
        <v>Zylinderkraft min. [N]</v>
      </c>
      <c r="N44" s="834"/>
      <c r="O44" s="413" t="e">
        <f>IF(G8="J",(H44/L46)*2,H44/L46)</f>
        <v>#DIV/0!</v>
      </c>
      <c r="P44" s="819" t="str">
        <f>IF($E$6="DE","Zylinderdruck min. [bar]","Cyl. Pressure min. [bar]")</f>
        <v>Zylinderdruck min. [bar]</v>
      </c>
      <c r="Q44" s="834"/>
      <c r="R44" s="983" t="e">
        <f>10*O44/(H46*E46)</f>
        <v>#DIV/0!</v>
      </c>
      <c r="S44" s="984"/>
      <c r="T44" s="1002" t="str">
        <f>IF(AND($E$6="DE",G6="RZ"),"Ergebnis Zangen-/Motorauslegung",IF(AND($E$6="ENG",G6="RZ"),"Result Gun/Motor Design",IF(AND($E$6="DE",G6="SPZ"),"Ergebnis zwischen 1,0 bar und 10 bar:",IF(AND($E$6="ENG",G6="SPZ"),"Result between 1,0 bar and 10 bar:","-"))))</f>
        <v>Ergebnis zwischen 1,0 bar und 10 bar:</v>
      </c>
      <c r="U44" s="1003"/>
      <c r="V44" s="1003"/>
      <c r="W44" s="1004"/>
      <c r="X44" s="947" t="str">
        <f>IF($E$6="DE","benötigte Elektrodenkappen für Schweißzange","required Electrode Caps for Gun")</f>
        <v>benötigte Elektrodenkappen für Schweißzange</v>
      </c>
      <c r="Y44" s="948"/>
      <c r="Z44" s="949"/>
      <c r="AA44" s="1013" t="str">
        <f>IF($E$6="DE","benötigtes Fräsmesser","required Tip Dresser")</f>
        <v>benötigtes Fräsmesser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Legende der Indizes:</v>
      </c>
      <c r="AP44" s="682"/>
      <c r="AQ44" s="682"/>
      <c r="AR44" s="682"/>
      <c r="AS44" s="682"/>
      <c r="AT44" s="682"/>
      <c r="AU44" s="682"/>
      <c r="AV44" s="682"/>
      <c r="AW44" s="682"/>
      <c r="AX44" s="682"/>
      <c r="AY44" s="682"/>
      <c r="AZ44" s="682"/>
      <c r="BA44" s="682"/>
      <c r="BB44" s="683"/>
      <c r="BC44" s="282"/>
      <c r="BD44" s="282"/>
      <c r="BE44" s="282"/>
      <c r="BF44" s="282">
        <f>COUNTIF(BF19:BF43,"Ja")</f>
        <v>5</v>
      </c>
    </row>
    <row r="45" spans="1:90" ht="25.5" customHeight="1" thickBot="1">
      <c r="A45" s="923"/>
      <c r="B45" s="281"/>
      <c r="C45" s="823"/>
      <c r="D45" s="820"/>
      <c r="E45" s="825"/>
      <c r="F45" s="826" t="str">
        <f>IF($E$6="DE","Schweißkraft max. [N]","Welding Force max. [N]")</f>
        <v>Schweißkraft max. [N]</v>
      </c>
      <c r="G45" s="827"/>
      <c r="H45" s="414">
        <f>IF(AND(AN45="Ja",ISTEXT(AG47),ISNUMBER(AL47)),(IF(ROUNDUP(MAX(AE19:AE43)*2300,-3)&gt;5000,(ROUNDUP(MAX(AE19:AE43)*2300,-3)/2),2500)),(IF(ROUNDUP(MAX(AB19:AB43)*2200,-3)&gt;5000,(ROUNDUP(MAX(AB19:AB43)*2200,-3)/2),IF(BL9=TRUE,1100,2500))))</f>
        <v>6500</v>
      </c>
      <c r="I45" s="826" t="str">
        <f>IF(G6="RZ",IF($E$6="DE","Abstand Motor [mm]","Distance to Motor [mm]"),IF($E$6="DE","Abstand Zylinder [mm]","Distance to Cylinder [mm]"))</f>
        <v>Abstand Zylinder [mm]</v>
      </c>
      <c r="J45" s="836"/>
      <c r="K45" s="827"/>
      <c r="L45" s="415"/>
      <c r="M45" s="828" t="str">
        <f>IF($E$6="DE","Zylinderkraft max.[N]","Cyl. Force max.[N]")</f>
        <v>Zylinderkraft max.[N]</v>
      </c>
      <c r="N45" s="829"/>
      <c r="O45" s="416" t="e">
        <f>IF(G8="J",(H45/L46)*2,H45/L46)</f>
        <v>#DIV/0!</v>
      </c>
      <c r="P45" s="828" t="str">
        <f>IF($E$6="DE","Zylinderdruck max. [bar]","Cyl. Pressure max. [bar]")</f>
        <v>Zylinderdruck max. [bar]</v>
      </c>
      <c r="Q45" s="829"/>
      <c r="R45" s="981" t="e">
        <f>10*O45/(H46*E46)</f>
        <v>#DIV/0!</v>
      </c>
      <c r="S45" s="982"/>
      <c r="T45" s="1010" t="str">
        <f>IF(G6="RZ",BH49,IF(G6="SPZ",BH46,IF(G6="-","Zangentyp/Guntype?")))</f>
        <v>max. Zangenkraft lt.Zeichnung überschritten!</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Zylinderwirkungsgrad                           (nur für SPZ)</v>
      </c>
      <c r="D46" s="829"/>
      <c r="E46" s="416">
        <v>0.95</v>
      </c>
      <c r="F46" s="828" t="str">
        <f>IF($E$6="DE","Zylinderfläche [mm²] (nur für SPZ)","Cylinder Surface [mm²] (only for SPZ)")</f>
        <v>Zylinderfläche [mm²] (nur für SPZ)</v>
      </c>
      <c r="G46" s="829"/>
      <c r="H46" s="420">
        <f>IF(E45="T",2*PI()/4*POWER(E44,2),PI()/4*POWER(E44,2))</f>
        <v>0</v>
      </c>
      <c r="I46" s="975" t="str">
        <f>IF($E$6="DE","Ausladung/ Abstand","Leverage Ratio")</f>
        <v>Ausladung/ Abstand</v>
      </c>
      <c r="J46" s="976"/>
      <c r="K46" s="977"/>
      <c r="L46" s="421" t="e">
        <f>IF(G19="X",L45/L44,1)</f>
        <v>#DIV/0!</v>
      </c>
      <c r="M46" s="830" t="str">
        <f>IF($E$6="DE","notwendige Motorkraft min. [N]","requiered Motor Force min. [N]")</f>
        <v>notwendige Motorkraft min. [N]</v>
      </c>
      <c r="N46" s="831"/>
      <c r="O46" s="422" t="e">
        <f>IF(G8="J",(H44/L46)*2,H44/L46)</f>
        <v>#DIV/0!</v>
      </c>
      <c r="P46" s="830" t="str">
        <f>IF($E$6="DE","erreichbare Motorkraft min. [N]","feasible Motor Force min. [N]")</f>
        <v>erreichbare Motorkraft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1979-2 !</v>
      </c>
      <c r="Y46" s="945"/>
      <c r="Z46" s="946"/>
      <c r="AA46" s="423">
        <f>IF(AND(X46="39D 1978-2",MAX(AI19:AI43)=8),8,(VLOOKUP(X46,AH19:AL43,2,FALSE)))</f>
        <v>8</v>
      </c>
      <c r="AB46" s="424">
        <f>VLOOKUP(X46,AH19:AL43,3,FALSE)</f>
        <v>50</v>
      </c>
      <c r="AC46" s="425">
        <f>IF(AND(X46="39D 1978-2",MAX(AK19:AK43)=8),8,(VLOOKUP(X46,AH19:AL43,4,FALSE)))</f>
        <v>8</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903"/>
      <c r="BJ46" s="279" t="s">
        <v>1708</v>
      </c>
    </row>
    <row r="47" spans="1:90" ht="42.75" customHeight="1" thickBot="1">
      <c r="A47" s="923"/>
      <c r="B47" s="281"/>
      <c r="C47" s="817" t="str">
        <f>IF($E$6="DE","Roboterhersteller                                          (nur für RZ)","Robot Supplier                                  (only for RZ)")</f>
        <v>Roboterhersteller                                          (nur für RZ)</v>
      </c>
      <c r="D47" s="818"/>
      <c r="E47" s="427"/>
      <c r="F47" s="817" t="str">
        <f>IF($E$6="DE","Zangengrundkörper               (nur für RZ)","Weld Gun Basic Body (only for RZ)")</f>
        <v>Zangengrundkörper               (nur für RZ)</v>
      </c>
      <c r="G47" s="818"/>
      <c r="H47" s="427"/>
      <c r="I47" s="978" t="str">
        <f>IF($E$6="DE","Motorhersteller                           (nur für RZ)","Motor Supplier                        (only for RZ)")</f>
        <v>Motorhersteller                           (nur für RZ)</v>
      </c>
      <c r="J47" s="979"/>
      <c r="K47" s="980"/>
      <c r="L47" s="427"/>
      <c r="M47" s="832" t="str">
        <f>IF($E$6="DE","notwendige Motorkraft max. [N]","requiered Motor Force max. [N]")</f>
        <v>notwendige Motorkraft max. [N]</v>
      </c>
      <c r="N47" s="833"/>
      <c r="O47" s="428" t="e">
        <f>IF(G8="J",(H45/L46)*2,H45/L46)</f>
        <v>#DIV/0!</v>
      </c>
      <c r="P47" s="832" t="str">
        <f>IF($E$6="DE","erreichbare Motorkraft max. [N]"," feasible  Motor Force max. [N]")</f>
        <v>erreichbare Motorkraft max. [N]</v>
      </c>
      <c r="Q47" s="833"/>
      <c r="R47" s="994" t="str">
        <f>IF(ISNA(VLOOKUP(CONCATENATE(E47,H47,L47),Motordaten!D3:H45,4,FALSE)),"",VLOOKUP(CONCATENATE(E47,H47,L47),Motordaten!D3:H45,4,FALSE))</f>
        <v/>
      </c>
      <c r="S47" s="995"/>
      <c r="T47" s="999" t="str">
        <f>IF($E$6="DE","Max.Elektrodenkraft lt.Zeichnung[N]","Max.Electrode-Force acc.to Drw.[N]")</f>
        <v>Max.Elektrodenkraft lt.Zeichnung[N]</v>
      </c>
      <c r="U47" s="1000"/>
      <c r="V47" s="1001"/>
      <c r="W47" s="429">
        <v>5000</v>
      </c>
      <c r="X47" s="893" t="str">
        <f>IF($E$6="DE","Motorbezeichnung:","Designation of Motor")</f>
        <v>Motorbezeichnung:</v>
      </c>
      <c r="Y47" s="894"/>
      <c r="Z47" s="895"/>
      <c r="AA47" s="893" t="str">
        <f>_xlfn.IFNA(VLOOKUP(CONCATENATE(E47,H47,L47),Motordaten!D3:H45,2,FALSE),IF(E6="DE","Kein Motortyp gefunden","no motortype found"))</f>
        <v>Kein Motortyp gefunden</v>
      </c>
      <c r="AB47" s="894"/>
      <c r="AC47" s="894"/>
      <c r="AD47" s="895"/>
      <c r="AE47" s="742" t="str">
        <f>IF(E6="DE", "Name:                         (Abteilung)","Name                        (Dept.)")</f>
        <v>Name:                         (Abteilung)</v>
      </c>
      <c r="AF47" s="743"/>
      <c r="AG47" s="884"/>
      <c r="AH47" s="885"/>
      <c r="AI47" s="886"/>
      <c r="AJ47" s="880" t="str">
        <f>IF(E6="DE", "Datum","Date")</f>
        <v>Datum</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1180</v>
      </c>
      <c r="N48" s="874"/>
      <c r="O48" s="854" t="s">
        <v>13</v>
      </c>
      <c r="P48" s="877" t="s">
        <v>2</v>
      </c>
      <c r="Q48" s="878"/>
      <c r="R48" s="963" t="str">
        <f>IF(ISBLANK('Blatt 0'!X55),"Blatt 0!",'Blatt 0'!X55)</f>
        <v>GME</v>
      </c>
      <c r="S48" s="964"/>
      <c r="T48" s="964"/>
      <c r="U48" s="964"/>
      <c r="V48" s="965"/>
      <c r="W48" s="371" t="s">
        <v>42</v>
      </c>
      <c r="X48" s="928">
        <f>IF(ISBLANK('Blatt 0'!AB55),"Blatt 0!",'Blatt 0'!AB55)</f>
        <v>3</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ST1180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e">
        <f>IF(O46&lt;R46,IF(E6="DE","Rücksprache Prozessmethodik","consult Process Methodology")," ")</f>
        <v>#DIV/0!</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45" priority="429" stopIfTrue="1" operator="equal">
      <formula>"Ergebnis des Druckbereichs i.O."</formula>
    </cfRule>
    <cfRule type="cellIs" dxfId="144" priority="430" stopIfTrue="1" operator="equal">
      <formula>"Ergebnis des Druckbereichs nicht i.O."</formula>
    </cfRule>
  </conditionalFormatting>
  <conditionalFormatting sqref="BH47">
    <cfRule type="cellIs" dxfId="143" priority="427" stopIfTrue="1" operator="equal">
      <formula>" "</formula>
    </cfRule>
    <cfRule type="cellIs" dxfId="142" priority="428" stopIfTrue="1" operator="equal">
      <formula>"Rücksprache Prozessmethodik"</formula>
    </cfRule>
  </conditionalFormatting>
  <conditionalFormatting sqref="X46">
    <cfRule type="cellIs" dxfId="141" priority="421" stopIfTrue="1" operator="notEqual">
      <formula>"39D 1978-2"</formula>
    </cfRule>
    <cfRule type="containsText" dxfId="140" priority="422" stopIfTrue="1" operator="containsText" text="39D 1978-2">
      <formula>NOT(ISERROR(SEARCH("39D 1978-2",X46)))</formula>
    </cfRule>
    <cfRule type="expression" priority="423" stopIfTrue="1">
      <formula>1</formula>
    </cfRule>
  </conditionalFormatting>
  <conditionalFormatting sqref="AA46">
    <cfRule type="cellIs" dxfId="139" priority="420" stopIfTrue="1" operator="notEqual">
      <formula>6</formula>
    </cfRule>
  </conditionalFormatting>
  <conditionalFormatting sqref="AB46">
    <cfRule type="cellIs" dxfId="138" priority="419" stopIfTrue="1" operator="notEqual">
      <formula>50</formula>
    </cfRule>
  </conditionalFormatting>
  <conditionalFormatting sqref="AC46">
    <cfRule type="cellIs" dxfId="137" priority="418" stopIfTrue="1" operator="notEqual">
      <formula>6</formula>
    </cfRule>
  </conditionalFormatting>
  <conditionalFormatting sqref="AD46">
    <cfRule type="cellIs" dxfId="136" priority="415" stopIfTrue="1" operator="notEqual">
      <formula>50</formula>
    </cfRule>
  </conditionalFormatting>
  <conditionalFormatting sqref="CB19:CB43">
    <cfRule type="cellIs" dxfId="135" priority="440" stopIfTrue="1" operator="equal">
      <formula>$AC$19</formula>
    </cfRule>
  </conditionalFormatting>
  <conditionalFormatting sqref="G19:G43">
    <cfRule type="expression" dxfId="134" priority="414" stopIfTrue="1">
      <formula>OR(AND(ISNUMBER($P19),ISBLANK($G19)),AND(ISTEXT($G19),ISBLANK($P19)))</formula>
    </cfRule>
  </conditionalFormatting>
  <conditionalFormatting sqref="BH46">
    <cfRule type="cellIs" dxfId="133" priority="398" operator="equal">
      <formula>"pressure level not allowed"</formula>
    </cfRule>
    <cfRule type="cellIs" dxfId="132" priority="399" operator="equal">
      <formula>"presure level allowed"</formula>
    </cfRule>
    <cfRule type="cellIs" dxfId="131" priority="400" operator="equal">
      <formula>"Max. Force of gun acc.Drw.exceeded!"</formula>
    </cfRule>
    <cfRule type="cellIs" dxfId="130" priority="410" stopIfTrue="1" operator="equal">
      <formula>"Zangenkraft lt.Zangenzeichnung überschritten!"</formula>
    </cfRule>
  </conditionalFormatting>
  <conditionalFormatting sqref="AE19:AE43">
    <cfRule type="expression" dxfId="129" priority="406">
      <formula>ISERROR(AE19)</formula>
    </cfRule>
  </conditionalFormatting>
  <conditionalFormatting sqref="BH47">
    <cfRule type="cellIs" dxfId="128" priority="397" operator="equal">
      <formula>"consult process methodology"</formula>
    </cfRule>
  </conditionalFormatting>
  <conditionalFormatting sqref="W47">
    <cfRule type="expression" dxfId="127" priority="441" stopIfTrue="1">
      <formula>ISBLANK($W$47)</formula>
    </cfRule>
  </conditionalFormatting>
  <conditionalFormatting sqref="G6">
    <cfRule type="cellIs" dxfId="126" priority="396" operator="equal">
      <formula>"-"</formula>
    </cfRule>
  </conditionalFormatting>
  <conditionalFormatting sqref="H44">
    <cfRule type="cellIs" dxfId="125" priority="395" operator="equal">
      <formula>"Zangentyp?"</formula>
    </cfRule>
  </conditionalFormatting>
  <conditionalFormatting sqref="BH49">
    <cfRule type="cellIs" dxfId="124" priority="393" stopIfTrue="1" operator="equal">
      <formula>"Zangen/Motorauslegung i.O."</formula>
    </cfRule>
    <cfRule type="cellIs" dxfId="123" priority="394" stopIfTrue="1" operator="equal">
      <formula>"Zangen/Motorauslegung nicht i.O."</formula>
    </cfRule>
  </conditionalFormatting>
  <conditionalFormatting sqref="BH49 BJ49:BK49">
    <cfRule type="cellIs" dxfId="122" priority="387" operator="equal">
      <formula>"Gun/Electromotor Design not O.K."</formula>
    </cfRule>
    <cfRule type="cellIs" dxfId="121" priority="388" operator="equal">
      <formula>"Gun/Electromotor Design O.K."</formula>
    </cfRule>
    <cfRule type="cellIs" dxfId="120" priority="389" operator="equal">
      <formula>"incorrect Gun Type/Gun Body/Gun Measure"</formula>
    </cfRule>
    <cfRule type="cellIs" dxfId="119" priority="390" operator="equal">
      <formula>"Max. Force of Gun acc.Drw.exceeded!"</formula>
    </cfRule>
    <cfRule type="cellIs" dxfId="118" priority="391" operator="equal">
      <formula>"max. Zangenkraft lt.Zeichnung überschritten!"</formula>
    </cfRule>
    <cfRule type="cellIs" dxfId="117" priority="392" stopIfTrue="1" operator="equal">
      <formula>"Zangentyp/-grundkörper/-maße falsch"</formula>
    </cfRule>
  </conditionalFormatting>
  <conditionalFormatting sqref="BH50">
    <cfRule type="cellIs" dxfId="116" priority="385" stopIfTrue="1" operator="equal">
      <formula>" "</formula>
    </cfRule>
    <cfRule type="cellIs" dxfId="115" priority="386" stopIfTrue="1" operator="equal">
      <formula>"Rücksprache Prozessmethodik"</formula>
    </cfRule>
  </conditionalFormatting>
  <conditionalFormatting sqref="T46">
    <cfRule type="cellIs" dxfId="114" priority="375" stopIfTrue="1" operator="equal">
      <formula>" "</formula>
    </cfRule>
    <cfRule type="cellIs" dxfId="113" priority="376" stopIfTrue="1" operator="equal">
      <formula>"Rücksprache Prozessmethodik"</formula>
    </cfRule>
  </conditionalFormatting>
  <conditionalFormatting sqref="T46">
    <cfRule type="cellIs" dxfId="112" priority="374" operator="equal">
      <formula>"consult process methodology"</formula>
    </cfRule>
  </conditionalFormatting>
  <conditionalFormatting sqref="T45">
    <cfRule type="cellIs" dxfId="111" priority="372" stopIfTrue="1" operator="equal">
      <formula>"Zangen/Motorauslegung i.O."</formula>
    </cfRule>
    <cfRule type="cellIs" dxfId="110" priority="373" stopIfTrue="1" operator="equal">
      <formula>"Zangen/Motorauslegung nicht i.O."</formula>
    </cfRule>
  </conditionalFormatting>
  <conditionalFormatting sqref="T45:W45">
    <cfRule type="cellIs" dxfId="109" priority="332" operator="equal">
      <formula>"Zangentyp/Guntype?"</formula>
    </cfRule>
    <cfRule type="cellIs" dxfId="108" priority="362" operator="equal">
      <formula>"Pressure level not allowed"</formula>
    </cfRule>
    <cfRule type="cellIs" dxfId="107" priority="363" operator="equal">
      <formula>"Presure level allowed"</formula>
    </cfRule>
    <cfRule type="cellIs" dxfId="106" priority="364" operator="equal">
      <formula>"Ergebnis des Druckbereichs nicht i.O."</formula>
    </cfRule>
    <cfRule type="cellIs" dxfId="105" priority="365" operator="equal">
      <formula>"Ergebnis des Druckbereichs i.O."</formula>
    </cfRule>
    <cfRule type="cellIs" dxfId="104" priority="366" operator="equal">
      <formula>"Gun/Electromotor Design not O.K."</formula>
    </cfRule>
    <cfRule type="cellIs" dxfId="103" priority="367" operator="equal">
      <formula>"Gun/Electromotor Design O.K."</formula>
    </cfRule>
    <cfRule type="cellIs" dxfId="102" priority="368" operator="equal">
      <formula>"incorrect Gun Type/Gun Body/Gun Measure"</formula>
    </cfRule>
    <cfRule type="cellIs" dxfId="101" priority="369" operator="equal">
      <formula>"Max. Force of Gun acc.Drw.exceeded!"</formula>
    </cfRule>
    <cfRule type="cellIs" dxfId="100" priority="370" operator="equal">
      <formula>"max. Zangenkraft lt.Zeichnung überschritten!"</formula>
    </cfRule>
    <cfRule type="cellIs" dxfId="99" priority="371" stopIfTrue="1" operator="equal">
      <formula>"Zangentyp/-grundkörper/-maße falsch"</formula>
    </cfRule>
  </conditionalFormatting>
  <conditionalFormatting sqref="E47">
    <cfRule type="expression" dxfId="98" priority="361">
      <formula>$G$6="SPZ"</formula>
    </cfRule>
  </conditionalFormatting>
  <conditionalFormatting sqref="E44">
    <cfRule type="expression" dxfId="97" priority="354">
      <formula>$G$6="RZ"</formula>
    </cfRule>
  </conditionalFormatting>
  <conditionalFormatting sqref="E46">
    <cfRule type="expression" dxfId="96" priority="215">
      <formula>$G$6="RZ"</formula>
    </cfRule>
  </conditionalFormatting>
  <conditionalFormatting sqref="L44">
    <cfRule type="expression" dxfId="95" priority="301">
      <formula>ISERR($L$46)</formula>
    </cfRule>
  </conditionalFormatting>
  <conditionalFormatting sqref="L45">
    <cfRule type="expression" dxfId="94" priority="300">
      <formula>ISERR($L$46)</formula>
    </cfRule>
  </conditionalFormatting>
  <conditionalFormatting sqref="Y19">
    <cfRule type="expression" dxfId="93" priority="282">
      <formula>ISERR(AE19)</formula>
    </cfRule>
  </conditionalFormatting>
  <conditionalFormatting sqref="Y20:Y43">
    <cfRule type="expression" dxfId="92" priority="281">
      <formula>ISERR(AE20)</formula>
    </cfRule>
  </conditionalFormatting>
  <conditionalFormatting sqref="S41:S43">
    <cfRule type="expression" dxfId="91" priority="272">
      <formula>$U41="t2?"</formula>
    </cfRule>
  </conditionalFormatting>
  <conditionalFormatting sqref="AN45:AN46">
    <cfRule type="cellIs" dxfId="90" priority="238" operator="equal">
      <formula>"Ja"</formula>
    </cfRule>
  </conditionalFormatting>
  <conditionalFormatting sqref="AE45:AE46">
    <cfRule type="expression" dxfId="89" priority="445">
      <formula>AN45="Ja"</formula>
    </cfRule>
  </conditionalFormatting>
  <conditionalFormatting sqref="AE47">
    <cfRule type="expression" dxfId="88" priority="446">
      <formula>AND(AN45="Ja",ISBLANK($AG$47))</formula>
    </cfRule>
  </conditionalFormatting>
  <conditionalFormatting sqref="AJ47">
    <cfRule type="expression" dxfId="87" priority="447">
      <formula>AND(AN45="Ja",ISBLANK($AL$47))</formula>
    </cfRule>
  </conditionalFormatting>
  <conditionalFormatting sqref="AG47">
    <cfRule type="expression" dxfId="86" priority="237">
      <formula>AND(AN45="Ja",ISBLANK($AG$47))</formula>
    </cfRule>
  </conditionalFormatting>
  <conditionalFormatting sqref="AL47">
    <cfRule type="expression" dxfId="85" priority="236">
      <formula>AND(AN45="Ja",ISBLANK($AL$47))</formula>
    </cfRule>
  </conditionalFormatting>
  <conditionalFormatting sqref="G8">
    <cfRule type="expression" dxfId="84" priority="235">
      <formula>NOT(OR(G8="J",G8="N"))</formula>
    </cfRule>
  </conditionalFormatting>
  <conditionalFormatting sqref="S31:S39">
    <cfRule type="expression" dxfId="83" priority="229">
      <formula>$R31="t1?"</formula>
    </cfRule>
  </conditionalFormatting>
  <conditionalFormatting sqref="S40">
    <cfRule type="expression" dxfId="82" priority="228">
      <formula>$U40="t2?"</formula>
    </cfRule>
  </conditionalFormatting>
  <conditionalFormatting sqref="H47">
    <cfRule type="expression" dxfId="81" priority="223">
      <formula>$G$6="SPZ"</formula>
    </cfRule>
  </conditionalFormatting>
  <conditionalFormatting sqref="L47">
    <cfRule type="expression" dxfId="80" priority="222">
      <formula>$G$6="SPZ"</formula>
    </cfRule>
  </conditionalFormatting>
  <conditionalFormatting sqref="O46">
    <cfRule type="expression" dxfId="79" priority="221">
      <formula>$G$6="SPZ"</formula>
    </cfRule>
  </conditionalFormatting>
  <conditionalFormatting sqref="O47">
    <cfRule type="expression" dxfId="78" priority="220">
      <formula>$G$6="SPZ"</formula>
    </cfRule>
  </conditionalFormatting>
  <conditionalFormatting sqref="R46">
    <cfRule type="expression" dxfId="77" priority="219">
      <formula>$G$6="SPZ"</formula>
    </cfRule>
  </conditionalFormatting>
  <conditionalFormatting sqref="R47">
    <cfRule type="expression" dxfId="76" priority="218">
      <formula>$G$6="SPZ"</formula>
    </cfRule>
  </conditionalFormatting>
  <conditionalFormatting sqref="X47">
    <cfRule type="expression" dxfId="75" priority="217">
      <formula>$G$6="SPZ"</formula>
    </cfRule>
  </conditionalFormatting>
  <conditionalFormatting sqref="AA47">
    <cfRule type="expression" dxfId="74" priority="216">
      <formula>$G$6="SPZ"</formula>
    </cfRule>
  </conditionalFormatting>
  <conditionalFormatting sqref="H46">
    <cfRule type="expression" dxfId="73" priority="214">
      <formula>$G$6="RZ"</formula>
    </cfRule>
  </conditionalFormatting>
  <conditionalFormatting sqref="O44">
    <cfRule type="expression" dxfId="72" priority="213">
      <formula>$G$6="RZ"</formula>
    </cfRule>
  </conditionalFormatting>
  <conditionalFormatting sqref="O45">
    <cfRule type="expression" dxfId="71" priority="212">
      <formula>$G$6="RZ"</formula>
    </cfRule>
  </conditionalFormatting>
  <conditionalFormatting sqref="R44">
    <cfRule type="expression" dxfId="70" priority="211">
      <formula>$G$6="RZ"</formula>
    </cfRule>
  </conditionalFormatting>
  <conditionalFormatting sqref="R45">
    <cfRule type="expression" dxfId="69" priority="210">
      <formula>$G$6="RZ"</formula>
    </cfRule>
  </conditionalFormatting>
  <conditionalFormatting sqref="C44:D45">
    <cfRule type="expression" dxfId="68" priority="209">
      <formula>$G$6="RZ"</formula>
    </cfRule>
  </conditionalFormatting>
  <conditionalFormatting sqref="C46:D46">
    <cfRule type="expression" dxfId="67" priority="208">
      <formula>$G$6="RZ"</formula>
    </cfRule>
  </conditionalFormatting>
  <conditionalFormatting sqref="F46:G46">
    <cfRule type="expression" dxfId="66" priority="207">
      <formula>$G$6="RZ"</formula>
    </cfRule>
  </conditionalFormatting>
  <conditionalFormatting sqref="M45:N45">
    <cfRule type="expression" dxfId="65" priority="206">
      <formula>$G$6="RZ"</formula>
    </cfRule>
  </conditionalFormatting>
  <conditionalFormatting sqref="P45:Q45">
    <cfRule type="expression" dxfId="64" priority="205">
      <formula>$G$6="RZ"</formula>
    </cfRule>
  </conditionalFormatting>
  <conditionalFormatting sqref="M44:N44">
    <cfRule type="expression" dxfId="63" priority="204">
      <formula>$G$6="RZ"</formula>
    </cfRule>
  </conditionalFormatting>
  <conditionalFormatting sqref="P44:Q44">
    <cfRule type="expression" dxfId="62" priority="203">
      <formula>$G$6="RZ"</formula>
    </cfRule>
  </conditionalFormatting>
  <conditionalFormatting sqref="C47:D47">
    <cfRule type="expression" dxfId="61" priority="202">
      <formula>$G$6="SPZ"</formula>
    </cfRule>
  </conditionalFormatting>
  <conditionalFormatting sqref="F47:G47">
    <cfRule type="expression" dxfId="60" priority="201">
      <formula>$G$6="SPZ"</formula>
    </cfRule>
  </conditionalFormatting>
  <conditionalFormatting sqref="I47">
    <cfRule type="expression" dxfId="59" priority="200">
      <formula>$G$6="SPZ"</formula>
    </cfRule>
  </conditionalFormatting>
  <conditionalFormatting sqref="M46:N46">
    <cfRule type="expression" dxfId="58" priority="199">
      <formula>$G$6="SPZ"</formula>
    </cfRule>
  </conditionalFormatting>
  <conditionalFormatting sqref="M47:N47">
    <cfRule type="expression" dxfId="57" priority="198">
      <formula>$G$6="SPZ"</formula>
    </cfRule>
  </conditionalFormatting>
  <conditionalFormatting sqref="P47:Q47">
    <cfRule type="expression" dxfId="56" priority="197">
      <formula>$G$6="SPZ"</formula>
    </cfRule>
  </conditionalFormatting>
  <conditionalFormatting sqref="P46:Q46">
    <cfRule type="expression" dxfId="55" priority="196">
      <formula>$G$6="SPZ"</formula>
    </cfRule>
  </conditionalFormatting>
  <conditionalFormatting sqref="AF45:AM46">
    <cfRule type="expression" dxfId="54" priority="449">
      <formula>BG45="Ja"</formula>
    </cfRule>
  </conditionalFormatting>
  <conditionalFormatting sqref="AF47">
    <cfRule type="expression" dxfId="53" priority="451">
      <formula>AND(BG45="Ja",ISBLANK($AG$47))</formula>
    </cfRule>
  </conditionalFormatting>
  <conditionalFormatting sqref="AK47">
    <cfRule type="expression" dxfId="52" priority="453">
      <formula>AND(BG45="Ja",ISBLANK($AL$47))</formula>
    </cfRule>
  </conditionalFormatting>
  <conditionalFormatting sqref="AH47:AI47">
    <cfRule type="expression" dxfId="51" priority="455">
      <formula>AND(BG45="Ja",ISBLANK($AG$47))</formula>
    </cfRule>
  </conditionalFormatting>
  <conditionalFormatting sqref="AM47:AN47">
    <cfRule type="expression" dxfId="50" priority="460">
      <formula>AND(BG45="Ja",ISBLANK($AL$47))</formula>
    </cfRule>
  </conditionalFormatting>
  <conditionalFormatting sqref="W21">
    <cfRule type="expression" dxfId="49" priority="152">
      <formula>CELL("Schutz",W21)</formula>
    </cfRule>
  </conditionalFormatting>
  <conditionalFormatting sqref="V21">
    <cfRule type="expression" dxfId="48" priority="153">
      <formula>$R21="t1?"</formula>
    </cfRule>
  </conditionalFormatting>
  <conditionalFormatting sqref="V22 V31:V43 V26:V29">
    <cfRule type="expression" dxfId="47" priority="181">
      <formula>$R22="t1?"</formula>
    </cfRule>
  </conditionalFormatting>
  <conditionalFormatting sqref="P41:P43">
    <cfRule type="expression" dxfId="46" priority="176">
      <formula>$U41="t2?"</formula>
    </cfRule>
  </conditionalFormatting>
  <conditionalFormatting sqref="P31:P39">
    <cfRule type="expression" dxfId="45" priority="174">
      <formula>$R31="t1?"</formula>
    </cfRule>
  </conditionalFormatting>
  <conditionalFormatting sqref="P40">
    <cfRule type="expression" dxfId="44" priority="173">
      <formula>$U40="t2?"</formula>
    </cfRule>
  </conditionalFormatting>
  <conditionalFormatting sqref="AE44:AN44">
    <cfRule type="containsText" dxfId="43" priority="151"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2" priority="144">
      <formula>$R19="t1?"</formula>
    </cfRule>
  </conditionalFormatting>
  <conditionalFormatting sqref="P20:P28">
    <cfRule type="expression" dxfId="41" priority="143">
      <formula>$R20="t1?"</formula>
    </cfRule>
  </conditionalFormatting>
  <conditionalFormatting sqref="P19:P28">
    <cfRule type="expression" dxfId="40" priority="140">
      <formula>CELL("Schutz",P19)</formula>
    </cfRule>
  </conditionalFormatting>
  <conditionalFormatting sqref="V19">
    <cfRule type="expression" dxfId="39" priority="133">
      <formula>$R19="t1?"</formula>
    </cfRule>
  </conditionalFormatting>
  <conditionalFormatting sqref="V19">
    <cfRule type="expression" dxfId="38" priority="132">
      <formula>CELL("Schutz",V19)</formula>
    </cfRule>
  </conditionalFormatting>
  <conditionalFormatting sqref="P29">
    <cfRule type="expression" dxfId="37" priority="130">
      <formula>$R29="t1?"</formula>
    </cfRule>
  </conditionalFormatting>
  <conditionalFormatting sqref="S29">
    <cfRule type="expression" dxfId="36" priority="129">
      <formula>$R29="t1?"</formula>
    </cfRule>
  </conditionalFormatting>
  <conditionalFormatting sqref="P30">
    <cfRule type="expression" dxfId="35" priority="128">
      <formula>$R30="t1?"</formula>
    </cfRule>
  </conditionalFormatting>
  <conditionalFormatting sqref="S30">
    <cfRule type="expression" dxfId="34" priority="127">
      <formula>$R30="t1?"</formula>
    </cfRule>
  </conditionalFormatting>
  <conditionalFormatting sqref="V30">
    <cfRule type="expression" dxfId="33" priority="126">
      <formula>$R30="t1?"</formula>
    </cfRule>
  </conditionalFormatting>
  <conditionalFormatting sqref="I19:I43">
    <cfRule type="aboveAverage" dxfId="32" priority="124" aboveAverage="0"/>
    <cfRule type="aboveAverage" dxfId="31" priority="125"/>
  </conditionalFormatting>
  <conditionalFormatting sqref="G20:G43">
    <cfRule type="expression" dxfId="30" priority="118">
      <formula>AND(BI10=TRUE,BH10=TRUE)</formula>
    </cfRule>
  </conditionalFormatting>
  <conditionalFormatting sqref="G19:G43">
    <cfRule type="expression" dxfId="29" priority="461">
      <formula>AND(G19="X",$BJ$9=TRUE,$BI$9=TRUE)</formula>
    </cfRule>
  </conditionalFormatting>
  <conditionalFormatting sqref="G20:G43">
    <cfRule type="expression" dxfId="28" priority="462">
      <formula>AND($BJ$9=TRUE,$BI$9=TRUE)</formula>
    </cfRule>
  </conditionalFormatting>
  <conditionalFormatting sqref="V25">
    <cfRule type="expression" dxfId="27" priority="105">
      <formula>$R25="t1?"</formula>
    </cfRule>
  </conditionalFormatting>
  <conditionalFormatting sqref="W25:W27">
    <cfRule type="expression" dxfId="26" priority="93">
      <formula>CELL("Schutz",W25)</formula>
    </cfRule>
  </conditionalFormatting>
  <conditionalFormatting sqref="T27">
    <cfRule type="expression" dxfId="25" priority="91">
      <formula>CELL("Schutz",T27)</formula>
    </cfRule>
  </conditionalFormatting>
  <conditionalFormatting sqref="S19:S28">
    <cfRule type="expression" dxfId="24" priority="65">
      <formula>$R19="t1?"</formula>
    </cfRule>
  </conditionalFormatting>
  <conditionalFormatting sqref="S19:S28">
    <cfRule type="expression" dxfId="23" priority="64">
      <formula>CELL("Schutz",S19)</formula>
    </cfRule>
  </conditionalFormatting>
  <conditionalFormatting sqref="T26">
    <cfRule type="expression" dxfId="22" priority="48">
      <formula>CELL("Schutz",T26)</formula>
    </cfRule>
  </conditionalFormatting>
  <conditionalFormatting sqref="V24">
    <cfRule type="expression" dxfId="21" priority="47">
      <formula>$R24="t1?"</formula>
    </cfRule>
  </conditionalFormatting>
  <conditionalFormatting sqref="V24">
    <cfRule type="expression" dxfId="20" priority="46">
      <formula>CELL("Schutz",V24)</formula>
    </cfRule>
  </conditionalFormatting>
  <conditionalFormatting sqref="W24">
    <cfRule type="expression" dxfId="19" priority="45">
      <formula>CELL("Schutz",W24)</formula>
    </cfRule>
  </conditionalFormatting>
  <conditionalFormatting sqref="W23">
    <cfRule type="expression" dxfId="18" priority="43">
      <formula>CELL("Schutz",W23)</formula>
    </cfRule>
  </conditionalFormatting>
  <conditionalFormatting sqref="V23">
    <cfRule type="expression" dxfId="17" priority="42">
      <formula>$R23="t1?"</formula>
    </cfRule>
  </conditionalFormatting>
  <conditionalFormatting sqref="V23">
    <cfRule type="expression" dxfId="16" priority="41">
      <formula>CELL("Schutz",V23)</formula>
    </cfRule>
  </conditionalFormatting>
  <conditionalFormatting sqref="V20">
    <cfRule type="expression" dxfId="15" priority="34">
      <formula>$R20="t1?"</formula>
    </cfRule>
  </conditionalFormatting>
  <conditionalFormatting sqref="Q19">
    <cfRule type="expression" dxfId="14" priority="30">
      <formula>CELL("Schutz",Q19)</formula>
    </cfRule>
  </conditionalFormatting>
  <conditionalFormatting sqref="W19">
    <cfRule type="expression" dxfId="13" priority="28">
      <formula>CELL("Schutz",W19)</formula>
    </cfRule>
  </conditionalFormatting>
  <conditionalFormatting sqref="AR8:AU8">
    <cfRule type="expression" dxfId="12" priority="14">
      <formula>OR(AND(ISBLANK($AR$8),COUNTBLANK($AH$8:$AN$8)&lt;7),AND(ISBLANK($AR$8),$BF$44&gt;0))</formula>
    </cfRule>
  </conditionalFormatting>
  <conditionalFormatting sqref="AY8:BB8">
    <cfRule type="expression" dxfId="11" priority="12">
      <formula>OR(AND(ISBLANK($AY$8),COUNTBLANK($AH$8:$AN$8)&lt;7),AND(ISBLANK($AY$8),$BF$44&gt;0))</formula>
    </cfRule>
  </conditionalFormatting>
  <conditionalFormatting sqref="AO8:AQ8">
    <cfRule type="expression" dxfId="10" priority="11">
      <formula>OR(COUNTBLANK($AH$8:$AN$8)&lt;7,$BF$44&gt;0)</formula>
    </cfRule>
  </conditionalFormatting>
  <conditionalFormatting sqref="AV8:AX8">
    <cfRule type="expression" dxfId="9" priority="10">
      <formula>OR(COUNTBLANK($AH$8:$AN$8)&lt;7,$BF$44&gt;0)</formula>
    </cfRule>
  </conditionalFormatting>
  <conditionalFormatting sqref="AK8">
    <cfRule type="expression" dxfId="8" priority="9">
      <formula>AND($BF$44&gt;0,ISBLANK(AK8))</formula>
    </cfRule>
  </conditionalFormatting>
  <conditionalFormatting sqref="AL8">
    <cfRule type="expression" dxfId="7" priority="8">
      <formula>AND($BF$44&gt;0,ISBLANK(AL8))</formula>
    </cfRule>
  </conditionalFormatting>
  <conditionalFormatting sqref="AM8">
    <cfRule type="expression" dxfId="6" priority="7">
      <formula>AND($BF$44&gt;0,ISBLANK(AM8))</formula>
    </cfRule>
  </conditionalFormatting>
  <conditionalFormatting sqref="AN8">
    <cfRule type="expression" dxfId="5" priority="6">
      <formula>AND($BF$44&gt;0,ISBLANK(AN8))</formula>
    </cfRule>
  </conditionalFormatting>
  <conditionalFormatting sqref="W20">
    <cfRule type="expression" dxfId="4" priority="5">
      <formula>CELL("Schutz",W20)</formula>
    </cfRule>
  </conditionalFormatting>
  <conditionalFormatting sqref="Q20:Q30">
    <cfRule type="expression" dxfId="3" priority="4">
      <formula>CELL("Schutz",Q20)</formula>
    </cfRule>
  </conditionalFormatting>
  <conditionalFormatting sqref="T19:T25">
    <cfRule type="expression" dxfId="2" priority="3">
      <formula>CELL("Schutz",T19)</formula>
    </cfRule>
  </conditionalFormatting>
  <conditionalFormatting sqref="T28">
    <cfRule type="expression" dxfId="1" priority="2">
      <formula>CELL("Schutz",T28)</formula>
    </cfRule>
  </conditionalFormatting>
  <conditionalFormatting sqref="T31">
    <cfRule type="expression" dxfId="0" priority="1">
      <formula>CELL("Schutz",T31)</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4"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4"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4"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4"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4"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4"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2"/>
      <c r="C29" s="1108"/>
      <c r="D29" s="26" t="str">
        <f t="shared" ref="D29:D30" si="4">CONCATENATE(A29,$B$28,$C$28)</f>
        <v>KUKAC5000Tolomatic</v>
      </c>
      <c r="E29" s="25" t="s">
        <v>1740</v>
      </c>
      <c r="F29" s="26">
        <v>1500</v>
      </c>
      <c r="G29" s="26">
        <v>7560</v>
      </c>
      <c r="H29" s="25" t="s">
        <v>1696</v>
      </c>
    </row>
    <row r="30" spans="1:8" ht="15.75" thickBot="1">
      <c r="A30" s="24" t="s">
        <v>1153</v>
      </c>
      <c r="B30" s="1103"/>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2"/>
      <c r="C32" s="1108"/>
      <c r="D32" s="26" t="str">
        <f t="shared" ref="D32:D33" si="5">CONCATENATE(A32,$B$31,$C$28)</f>
        <v>KUKAC8000Tolomatic</v>
      </c>
      <c r="E32" s="466" t="s">
        <v>1741</v>
      </c>
      <c r="F32" s="26">
        <v>1500</v>
      </c>
      <c r="G32" s="26">
        <v>11100</v>
      </c>
      <c r="H32" s="25" t="s">
        <v>1742</v>
      </c>
    </row>
    <row r="33" spans="1:8" ht="15.75" thickBot="1">
      <c r="A33" s="24" t="s">
        <v>1153</v>
      </c>
      <c r="B33" s="1103"/>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2"/>
      <c r="C35" s="1108"/>
      <c r="D35" s="26" t="str">
        <f t="shared" ref="D35:D36" si="6">CONCATENATE(A35,$B$34,$C$28)</f>
        <v>KUKAC8000 TunnelTolomatic</v>
      </c>
      <c r="E35" s="25" t="s">
        <v>1741</v>
      </c>
      <c r="F35" s="26">
        <v>1500</v>
      </c>
      <c r="G35" s="26">
        <v>11100</v>
      </c>
      <c r="H35" s="25">
        <v>28330051</v>
      </c>
    </row>
    <row r="36" spans="1:8" ht="15.75" thickBot="1">
      <c r="A36" s="24" t="s">
        <v>1153</v>
      </c>
      <c r="B36" s="1103"/>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2"/>
      <c r="C38" s="1108"/>
      <c r="D38" s="26" t="str">
        <f t="shared" ref="D38:D39" si="7">CONCATENATE(A38,$B$37,$C$28)</f>
        <v>KUKAX100Tolomatic</v>
      </c>
      <c r="E38" s="25" t="s">
        <v>1743</v>
      </c>
      <c r="F38" s="26">
        <v>2000</v>
      </c>
      <c r="G38" s="26">
        <v>14680</v>
      </c>
      <c r="H38" s="25">
        <v>28440189</v>
      </c>
    </row>
    <row r="39" spans="1:8" ht="15.75" thickBot="1">
      <c r="A39" s="24" t="s">
        <v>1153</v>
      </c>
      <c r="B39" s="1103"/>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2"/>
      <c r="C41" s="1108"/>
      <c r="D41" s="26" t="str">
        <f t="shared" ref="D41:D42" si="8">CONCATENATE(A41,$B$40,$C$28)</f>
        <v>KUKAX125Tolomatic</v>
      </c>
      <c r="E41" s="25" t="s">
        <v>1744</v>
      </c>
      <c r="F41" s="26">
        <v>2500</v>
      </c>
      <c r="G41" s="26">
        <v>24000</v>
      </c>
      <c r="H41" s="26">
        <v>28440191</v>
      </c>
    </row>
    <row r="42" spans="1:8" ht="15.75" thickBot="1">
      <c r="A42" s="20" t="s">
        <v>1153</v>
      </c>
      <c r="B42" s="1103"/>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2"/>
      <c r="C44" s="1108"/>
      <c r="D44" s="26" t="str">
        <f t="shared" ref="D44:D45" si="9">CONCATENATE(A44,$B$43,$C$28)</f>
        <v>KUKAX125 (Doppelzange)Tolomatic</v>
      </c>
      <c r="E44" s="25" t="s">
        <v>1745</v>
      </c>
      <c r="F44" s="26">
        <v>2500</v>
      </c>
      <c r="G44" s="26">
        <v>24000</v>
      </c>
      <c r="H44" s="26">
        <v>28440212</v>
      </c>
    </row>
    <row r="45" spans="1:8" ht="15.75" thickBot="1">
      <c r="A45" s="20" t="s">
        <v>1153</v>
      </c>
      <c r="B45" s="1103"/>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8</vt:i4>
      </vt:variant>
      <vt:variant>
        <vt:lpstr>Intervalos nomeados</vt:lpstr>
      </vt:variant>
      <vt:variant>
        <vt:i4>4</vt:i4>
      </vt:variant>
    </vt:vector>
  </HeadingPairs>
  <TitlesOfParts>
    <vt:vector size="12" baseType="lpstr">
      <vt:lpstr>Blatt 0</vt:lpstr>
      <vt:lpstr>Blatt_1_1180R01</vt:lpstr>
      <vt:lpstr>Blatt_2_1180R01</vt:lpstr>
      <vt:lpstr>Punktplan LTVR_1_1180R01</vt:lpstr>
      <vt:lpstr>Materialliste</vt:lpstr>
      <vt:lpstr>Motordaten</vt:lpstr>
      <vt:lpstr>Hinweise (Notes)</vt:lpstr>
      <vt:lpstr>Änderungshistorie</vt:lpstr>
      <vt:lpstr>'Blatt 0'!Area_de_impressao</vt:lpstr>
      <vt:lpstr>Blatt_1_1180R01!Area_de_impressao</vt:lpstr>
      <vt:lpstr>Blatt_2_1180R01!Area_de_impressao</vt:lpstr>
      <vt:lpstr>'Punktplan LTVR_1_1180R01'!Area_de_impressao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2023-06-21T13:31:53Z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