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2_FINAL_V02\LTVR\"/>
    </mc:Choice>
  </mc:AlternateContent>
  <bookViews>
    <workbookView xWindow="0" yWindow="0" windowWidth="28800" windowHeight="12435" tabRatio="798" activeTab="2"/>
  </bookViews>
  <sheets>
    <sheet name="Blatt 0" sheetId="1" r:id="rId1"/>
    <sheet name="Blatt_1_1380R01" sheetId="38" r:id="rId2"/>
    <sheet name="Punktplan LTVR_3_138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LTVR_3_1380R01'!$M$19:$M$32</definedName>
    <definedName name="_xlnm.Print_Area" localSheetId="0">'Blatt 0'!$A$1:$AK$60</definedName>
    <definedName name="_xlnm.Print_Area" localSheetId="1">Blatt_1_1380R01!$A$1:$AK$60</definedName>
    <definedName name="_xlnm.Print_Area" localSheetId="2">'Punktplan LTVR_3_1380R01'!$A$1:$BB$58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<sst xmlns="http://schemas.openxmlformats.org/spreadsheetml/2006/main" count="2174" uniqueCount="1944">
  <si>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</si>
  <si>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</si>
  <si>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</si>
  <si>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</si>
  <si>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</si>
  <si>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</si>
  <si>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</si>
  <si>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</si>
  <si>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</si>
  <si>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</si>
  <si>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</si>
  <si>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</si>
  <si>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</si>
  <si>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</si>
  <si>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</si>
  <si>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</si>
  <si>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</si>
  <si>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</si>
  <si>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</si>
  <si>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</si>
  <si>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</si>
  <si>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</si>
  <si>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</si>
  <si>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</si>
  <si>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</si>
  <si>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</si>
  <si>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</si>
  <si>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</si>
  <si>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</si>
  <si>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</si>
  <si>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</si>
  <si>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</si>
  <si>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</si>
  <si>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</si>
  <si>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</si>
  <si>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</si>
  <si>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</si>
  <si>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</si>
  <si>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</si>
  <si>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</si>
  <si>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</si>
  <si>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</si>
  <si>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</si>
  <si>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</si>
  <si>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</si>
  <si>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</si>
  <si>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</si>
  <si>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</si>
  <si>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</si>
  <si>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</si>
  <si>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</si>
  <si>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</si>
  <si>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</si>
  <si>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</si>
  <si>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</si>
  <si>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</si>
  <si>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</si>
  <si>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</si>
  <si>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</si>
  <si>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</si>
  <si>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</si>
  <si>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</si>
  <si>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</si>
  <si>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</si>
  <si>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</si>
  <si>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</si>
  <si>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</si>
  <si>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</si>
  <si>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</si>
  <si>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</si>
  <si>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</si>
  <si>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</si>
  <si>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</si>
  <si>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</si>
  <si>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</si>
  <si>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</si>
  <si>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</si>
  <si>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</si>
  <si>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</si>
  <si>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</si>
  <si>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</si>
  <si>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</si>
  <si>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</si>
  <si>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</si>
  <si>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</si>
  <si>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</si>
  <si>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</si>
  <si>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</si>
  <si>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</si>
  <si>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</si>
  <si>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</si>
  <si>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</si>
  <si>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</si>
  <si>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</si>
  <si>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</si>
  <si>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</si>
  <si>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</si>
  <si>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</si>
  <si>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</si>
  <si>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</si>
  <si>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</si>
  <si>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</si>
  <si>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</si>
  <si>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</si>
  <si>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</si>
  <si>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</si>
  <si>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</si>
  <si>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</si>
  <si>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</si>
  <si>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</si>
  <si>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</si>
  <si>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</si>
  <si>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</si>
  <si>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</si>
  <si>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</si>
  <si>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</si>
  <si>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</si>
  <si>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</si>
  <si>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</si>
  <si>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</si>
  <si>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</si>
  <si>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</si>
  <si>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</si>
  <si>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</si>
  <si>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</si>
  <si>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</si>
  <si>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</si>
  <si>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</si>
  <si>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</si>
  <si>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</si>
  <si>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</si>
  <si>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</si>
  <si>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</si>
  <si>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</si>
  <si>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</si>
  <si>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</si>
  <si>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</si>
  <si>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</si>
  <si>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</si>
  <si>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</si>
  <si>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</si>
  <si>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</si>
  <si>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</si>
  <si>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</si>
  <si>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</si>
  <si>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</si>
  <si>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</si>
  <si>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</si>
  <si>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</si>
  <si>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</si>
  <si>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</si>
  <si>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</si>
  <si>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</si>
  <si>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</si>
  <si>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</si>
  <si>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</si>
  <si>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</si>
  <si>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</si>
  <si>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</si>
  <si>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</si>
  <si>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</si>
  <si>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</si>
  <si>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</si>
  <si>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</si>
  <si>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</si>
  <si>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</si>
  <si>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</si>
  <si>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</si>
  <si>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</si>
  <si>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</si>
  <si>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</si>
  <si>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</si>
  <si>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</si>
  <si>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</si>
  <si>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</si>
  <si>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</si>
  <si>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</si>
  <si>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</si>
  <si>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</si>
  <si>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</si>
  <si>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</si>
  <si>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</si>
  <si>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</si>
  <si>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</si>
  <si>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</si>
  <si>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</si>
  <si>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</si>
  <si>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</si>
  <si>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</si>
  <si>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</si>
  <si>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</si>
  <si>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</si>
  <si>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</si>
  <si>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</si>
  <si>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</si>
  <si>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</si>
  <si>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</si>
  <si>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</si>
  <si>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</si>
  <si>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</si>
  <si>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</si>
  <si>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</si>
  <si>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</si>
  <si>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</si>
  <si>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</si>
  <si>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</si>
  <si>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</si>
  <si>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</si>
  <si>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</si>
  <si>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</si>
  <si>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</si>
  <si>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</si>
  <si>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</si>
  <si>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</si>
  <si>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</si>
  <si>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</si>
  <si>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</si>
  <si>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</si>
  <si>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</si>
  <si>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</si>
  <si>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</si>
  <si>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</si>
  <si>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</si>
  <si>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</si>
  <si>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</si>
  <si>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</si>
  <si>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</si>
  <si>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</si>
  <si>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</si>
  <si>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</si>
  <si>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</si>
  <si>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</si>
  <si>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</si>
  <si>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</si>
  <si>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</si>
  <si>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</si>
  <si>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</si>
  <si>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</si>
  <si>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</si>
  <si>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</si>
  <si>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</si>
  <si>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</si>
  <si>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</si>
  <si>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</si>
  <si>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</si>
  <si>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</si>
  <si>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</si>
  <si>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</si>
  <si>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</si>
  <si>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</si>
  <si>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</si>
  <si>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</si>
  <si>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</si>
  <si>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</si>
  <si>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</si>
  <si>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</si>
  <si>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</si>
  <si>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</si>
  <si>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</si>
  <si>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</si>
  <si>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</si>
  <si>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</si>
  <si>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</si>
  <si>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</si>
  <si>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</si>
  <si>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</si>
  <si>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</si>
  <si>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</si>
  <si>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</si>
  <si>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</si>
  <si>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</si>
  <si>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</si>
  <si>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</si>
  <si>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</si>
  <si>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</si>
  <si>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</si>
  <si>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</si>
  <si>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</si>
  <si>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</si>
  <si>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</si>
  <si>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</si>
  <si>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</si>
  <si>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</si>
  <si>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</si>
  <si>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</si>
  <si>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</si>
  <si>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</si>
  <si>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</si>
  <si>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</si>
  <si>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</si>
  <si>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</si>
  <si>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</si>
  <si>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</si>
  <si>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</si>
  <si>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</si>
  <si>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</si>
  <si>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</si>
  <si>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</si>
  <si>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</si>
  <si>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</si>
  <si>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</si>
  <si>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</si>
  <si>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</si>
  <si>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</si>
  <si>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</si>
  <si>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</si>
  <si>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</si>
  <si>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</si>
  <si>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</si>
  <si>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</si>
  <si>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</si>
  <si>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</si>
  <si>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</si>
  <si>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</si>
  <si>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</si>
  <si>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</si>
  <si>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</si>
  <si>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</si>
  <si>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</si>
  <si>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</si>
  <si>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</si>
  <si>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</si>
  <si>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</si>
  <si>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</si>
  <si>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</si>
  <si>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</si>
  <si>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</si>
  <si>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</si>
  <si>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</si>
  <si>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</si>
  <si>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</si>
  <si>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</si>
  <si>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</si>
  <si>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</si>
  <si>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</si>
  <si>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</si>
  <si>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</si>
  <si>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</si>
  <si>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</si>
  <si>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</si>
  <si>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</si>
  <si>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</si>
  <si>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</si>
  <si>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</si>
  <si>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</si>
  <si>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</si>
  <si>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</si>
  <si>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</si>
  <si>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</si>
  <si>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</si>
  <si>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</si>
  <si>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</si>
  <si>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</si>
  <si>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</si>
  <si>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</si>
  <si>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</si>
  <si>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</si>
  <si>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</si>
  <si>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</si>
  <si>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</si>
  <si>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</si>
  <si>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</si>
  <si>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</si>
  <si>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</si>
  <si>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</si>
  <si>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</si>
  <si>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</si>
  <si>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</si>
  <si>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</si>
  <si>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</si>
  <si>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</si>
  <si>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</si>
  <si>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</si>
  <si>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</si>
  <si>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</si>
  <si>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</si>
  <si>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</si>
  <si>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</si>
  <si>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</si>
  <si>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</si>
  <si>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</si>
  <si>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</si>
  <si>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</si>
  <si>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</si>
  <si>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</si>
  <si>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</si>
  <si>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</si>
  <si>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</si>
  <si>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</si>
  <si>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</si>
  <si>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</si>
  <si>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</si>
  <si>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</si>
  <si>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</si>
  <si>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</si>
  <si>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</si>
  <si>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</si>
  <si>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</si>
  <si>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</si>
  <si>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</si>
  <si>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</si>
  <si>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</si>
  <si>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</si>
  <si>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</si>
  <si>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</si>
  <si>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</si>
  <si>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</si>
  <si>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</si>
  <si>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</si>
  <si>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</si>
  <si>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</si>
  <si>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</si>
  <si>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</si>
  <si>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</si>
  <si>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</si>
  <si>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</si>
  <si>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</si>
  <si>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</si>
  <si>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</si>
  <si>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</si>
  <si>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</si>
  <si>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</si>
  <si>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</si>
  <si>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</si>
  <si>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</si>
  <si>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</si>
  <si>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</si>
  <si>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</si>
  <si>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</si>
  <si>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</si>
  <si>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</si>
  <si>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</si>
  <si>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</si>
  <si>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</si>
  <si>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</si>
  <si>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</si>
  <si>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</si>
  <si>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</si>
  <si>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</si>
  <si>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</si>
  <si>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</si>
  <si>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</si>
  <si>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</si>
  <si>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</si>
  <si>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</si>
  <si>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</si>
  <si>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</si>
  <si>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</si>
  <si>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</si>
  <si>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</si>
  <si>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</si>
  <si>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</si>
  <si>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</si>
  <si>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</si>
  <si>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</si>
  <si>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</si>
  <si>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</si>
  <si>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</si>
  <si>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</si>
  <si>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</si>
  <si>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</si>
  <si>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</si>
  <si>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</si>
  <si>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</si>
  <si>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</si>
  <si>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</si>
  <si>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</si>
  <si>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</si>
  <si>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</si>
  <si>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</si>
  <si>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</si>
  <si>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</si>
  <si>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</si>
  <si>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</si>
  <si>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</si>
  <si>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</si>
  <si>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</si>
  <si>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</si>
  <si>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</si>
  <si>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</si>
  <si>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</si>
  <si>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</si>
  <si>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</si>
  <si>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</si>
  <si>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</si>
  <si>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</si>
  <si>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</si>
  <si>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</si>
  <si>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</si>
  <si>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</si>
  <si>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</si>
  <si>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</si>
  <si>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</si>
  <si>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</si>
  <si>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</si>
  <si>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</si>
  <si>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</si>
  <si>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</si>
  <si>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</si>
  <si>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</si>
  <si>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</si>
  <si>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</si>
  <si>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</si>
  <si>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</si>
  <si>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</si>
  <si>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</si>
  <si>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</si>
  <si>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</si>
  <si>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</si>
  <si>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</si>
  <si>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</si>
  <si>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</si>
  <si>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</si>
  <si>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</si>
  <si>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</si>
  <si>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</si>
  <si>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</si>
  <si>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</si>
  <si>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</si>
  <si>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</si>
  <si>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</si>
  <si>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</si>
  <si>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</si>
  <si>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</si>
  <si>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</si>
  <si>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</si>
  <si>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</si>
  <si>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</si>
  <si>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</si>
  <si>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</si>
  <si>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</si>
  <si>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</si>
  <si>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</si>
  <si>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</si>
  <si>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</si>
  <si>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</si>
  <si>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</si>
  <si>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</si>
  <si>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</si>
  <si>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</si>
  <si>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</si>
  <si>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</si>
  <si>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</si>
  <si>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</si>
  <si>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</si>
  <si>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</si>
  <si>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</si>
  <si>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</si>
  <si>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</si>
  <si>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</si>
  <si>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</si>
  <si>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</si>
  <si>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</si>
  <si>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</si>
  <si>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</si>
  <si>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</si>
  <si>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</si>
  <si>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</si>
  <si>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</si>
  <si>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</si>
  <si>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</si>
  <si>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</si>
  <si>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</si>
  <si>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</si>
  <si>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</si>
  <si>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</si>
  <si>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</si>
  <si>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</si>
  <si>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</si>
  <si>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</si>
  <si>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</si>
  <si>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</si>
  <si>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</si>
  <si>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</si>
  <si>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</si>
  <si>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</si>
  <si>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</si>
  <si>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</si>
  <si>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</si>
  <si>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</si>
  <si>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</si>
  <si>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</si>
  <si>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</si>
  <si>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</si>
  <si>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</si>
  <si>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</si>
  <si>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</si>
  <si>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</si>
  <si>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</si>
  <si>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</si>
  <si>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</si>
  <si>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</si>
  <si>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</si>
  <si>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</si>
  <si>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</si>
  <si>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</si>
  <si>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</si>
  <si>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</si>
  <si>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</si>
  <si>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</si>
  <si>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</si>
  <si>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</si>
  <si>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</si>
  <si>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</si>
  <si>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</si>
  <si>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</si>
  <si>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</si>
  <si>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</si>
  <si>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</si>
  <si>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</si>
  <si>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</si>
  <si>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</si>
  <si>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</si>
  <si>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</si>
  <si>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</si>
  <si>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</si>
  <si>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</si>
  <si>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</si>
  <si>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</si>
  <si>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</si>
  <si>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</si>
  <si>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</si>
  <si>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</si>
  <si>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</si>
  <si>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</si>
  <si>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</si>
  <si>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</si>
  <si>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</si>
  <si>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</si>
  <si>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</si>
  <si>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</si>
  <si>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</si>
  <si>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</si>
  <si>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</si>
  <si>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</si>
  <si>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</si>
  <si>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</si>
  <si>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</si>
  <si>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</si>
  <si>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</si>
  <si>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</si>
  <si>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</si>
  <si>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</si>
  <si>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</si>
  <si>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</si>
  <si>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</si>
  <si>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</si>
  <si>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</si>
  <si>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</si>
  <si>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</si>
  <si>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</si>
  <si>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</si>
  <si>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</si>
  <si>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</si>
  <si>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</si>
  <si>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</si>
  <si>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</si>
  <si>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</si>
  <si>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</si>
  <si>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</si>
  <si>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</si>
  <si>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</si>
  <si>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</si>
  <si>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</si>
  <si>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</si>
  <si>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</si>
  <si>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</si>
  <si>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</si>
  <si>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</si>
  <si>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</si>
  <si>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</si>
  <si>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</si>
  <si>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</si>
  <si>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</si>
  <si>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</si>
  <si>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</si>
  <si>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</si>
  <si>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</si>
  <si>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</si>
  <si>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</si>
  <si>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</si>
  <si>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</si>
  <si>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</si>
  <si>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</si>
  <si>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</si>
  <si>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</si>
  <si>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</si>
  <si>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</si>
  <si>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</si>
  <si>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</si>
  <si>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</si>
  <si>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</si>
  <si>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</si>
  <si>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</si>
  <si>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</si>
  <si>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</si>
  <si>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</si>
  <si>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</si>
  <si>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</si>
  <si>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</si>
  <si>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</si>
  <si>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</si>
  <si>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</si>
  <si>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</si>
  <si>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</si>
  <si>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</si>
  <si>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</si>
  <si>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</si>
  <si>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</si>
  <si>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</si>
  <si>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</si>
  <si>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</si>
  <si>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</si>
  <si>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</si>
  <si>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</si>
  <si>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</si>
  <si>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</si>
  <si>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</si>
  <si>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</si>
  <si>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</si>
  <si>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</si>
  <si>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</si>
  <si>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</si>
  <si>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</si>
  <si>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</si>
  <si>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</si>
  <si>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</si>
  <si>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</si>
  <si>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</si>
  <si>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</si>
  <si>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</si>
  <si>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</si>
  <si>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</si>
  <si>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</si>
  <si>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</si>
  <si>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</si>
  <si>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</si>
  <si>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</si>
  <si>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</si>
  <si>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</si>
  <si>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</si>
  <si>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</si>
  <si>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</si>
  <si>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</si>
  <si>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</si>
  <si>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</si>
  <si>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</si>
  <si>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</si>
  <si>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</si>
  <si>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</si>
  <si>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</si>
  <si>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</si>
  <si>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</si>
  <si>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</si>
  <si>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</si>
  <si>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</si>
  <si>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</si>
  <si>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</si>
  <si>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</si>
  <si>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</si>
  <si>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</si>
  <si>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</si>
  <si>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</si>
  <si>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</si>
  <si>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</si>
  <si>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</si>
  <si>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</si>
  <si>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</si>
  <si>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</si>
  <si>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</si>
  <si>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</si>
  <si>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</si>
  <si>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</si>
  <si>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</si>
  <si>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</si>
  <si>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</si>
  <si>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</si>
  <si>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</si>
  <si>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</si>
  <si>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</si>
  <si>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</si>
  <si>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</si>
  <si>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</si>
  <si>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</si>
  <si>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</si>
  <si>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</si>
  <si>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</si>
  <si>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</si>
  <si>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</si>
  <si>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</si>
  <si>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</si>
  <si>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</si>
  <si>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</si>
  <si>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</si>
  <si>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</si>
  <si>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</si>
  <si>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</si>
  <si>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</si>
  <si>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</si>
  <si>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</si>
  <si>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</si>
  <si>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</si>
  <si>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</si>
  <si>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</si>
  <si>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</si>
  <si>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</si>
  <si>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</si>
  <si>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</si>
  <si>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</si>
  <si>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</si>
  <si>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</si>
  <si>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</si>
  <si>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</si>
  <si>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</si>
  <si>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</si>
  <si>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</si>
  <si>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</si>
  <si>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</si>
  <si>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</si>
  <si>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</si>
  <si>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</si>
  <si>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</si>
  <si>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</si>
  <si>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</si>
  <si>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</si>
  <si>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</si>
  <si>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</si>
  <si>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</si>
  <si>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</si>
  <si>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</si>
  <si>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</si>
  <si>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</si>
  <si>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</si>
  <si>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</si>
  <si>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</si>
  <si>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</si>
  <si>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</si>
  <si>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</si>
  <si>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</si>
  <si>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</si>
  <si>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</si>
  <si>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</si>
  <si>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</si>
  <si>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</si>
  <si>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</si>
  <si>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</si>
  <si>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</si>
  <si>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</si>
  <si>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</si>
  <si>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</si>
  <si>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</si>
  <si>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</si>
  <si>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</si>
  <si>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</si>
  <si>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</si>
  <si>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</si>
  <si>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</si>
  <si>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</si>
  <si>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</si>
  <si>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</si>
  <si>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</si>
  <si>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</si>
  <si>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</si>
  <si>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</si>
  <si>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</si>
  <si>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</si>
  <si>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</si>
  <si>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</si>
  <si>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</si>
  <si>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</si>
  <si>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</si>
  <si>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</si>
  <si>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</si>
  <si>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</si>
  <si>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</si>
  <si>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</si>
  <si>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</si>
  <si>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</si>
  <si>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</si>
  <si>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</si>
  <si>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</si>
  <si>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</si>
  <si>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</si>
  <si>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</si>
  <si>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</si>
  <si>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</si>
  <si>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</si>
  <si>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</si>
  <si>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</si>
  <si>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</si>
  <si>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</si>
  <si>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</si>
  <si>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</si>
  <si>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</si>
  <si>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</si>
  <si>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</si>
  <si>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</si>
  <si>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</si>
  <si>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</si>
  <si>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</si>
  <si>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</si>
  <si>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</si>
  <si>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</si>
  <si>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</si>
  <si>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</si>
  <si>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</si>
  <si>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</si>
  <si>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</si>
  <si>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</si>
  <si>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</si>
  <si>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</si>
  <si>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</si>
  <si>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</si>
  <si>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</si>
  <si>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</si>
  <si>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</si>
  <si>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</si>
  <si>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</si>
  <si>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</si>
  <si>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</si>
  <si>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</si>
  <si>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</si>
  <si>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</si>
  <si>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</si>
  <si>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</si>
  <si>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</si>
  <si>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</si>
  <si>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</si>
  <si>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</si>
  <si>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</si>
  <si>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</si>
  <si>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</si>
  <si>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</si>
  <si>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</si>
  <si>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</si>
  <si>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</si>
  <si>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</si>
  <si>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</si>
  <si>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</si>
  <si>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</si>
  <si>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</si>
  <si>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</si>
  <si>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</si>
  <si>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</si>
  <si>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</si>
  <si>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</si>
  <si>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</si>
  <si>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</si>
  <si>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</si>
  <si>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</si>
  <si>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</si>
  <si>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</si>
  <si>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</si>
  <si>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</si>
  <si>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</si>
  <si>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</si>
  <si>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</si>
  <si>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</si>
  <si>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</si>
  <si>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</si>
  <si>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</si>
  <si>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</si>
  <si>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</si>
  <si>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</si>
  <si>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</si>
  <si>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</si>
  <si>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</si>
  <si>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</si>
  <si>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</si>
  <si>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</si>
  <si>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</si>
  <si>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</si>
  <si>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</si>
  <si>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</si>
  <si>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</si>
  <si>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</si>
  <si>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</si>
  <si>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</si>
  <si>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</si>
  <si>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</si>
  <si>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</si>
  <si>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</si>
  <si>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</si>
  <si>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</si>
  <si>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</si>
  <si>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</si>
  <si>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</si>
  <si>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</si>
  <si>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</si>
  <si>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</si>
  <si>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</si>
  <si>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</si>
  <si>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</si>
  <si>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</si>
  <si>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</si>
  <si>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</si>
  <si>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</si>
  <si>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</si>
  <si>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</si>
  <si>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</si>
  <si>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</si>
  <si>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</si>
  <si>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</si>
  <si>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</si>
  <si>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</si>
  <si>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</si>
  <si>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</si>
  <si>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</si>
  <si>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</si>
  <si>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</si>
  <si>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</si>
  <si>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</si>
  <si>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</si>
  <si>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</si>
  <si>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</si>
  <si>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</si>
  <si>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</si>
  <si>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</si>
  <si>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</si>
  <si>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</si>
  <si>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</si>
  <si>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</si>
  <si>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</si>
  <si>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</si>
  <si>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</si>
  <si>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</si>
  <si>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</si>
  <si>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</si>
  <si>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</si>
  <si>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</si>
  <si>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</si>
  <si>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</si>
  <si>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</si>
  <si>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</si>
  <si>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</si>
  <si>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</si>
  <si>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</si>
  <si>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</si>
  <si>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</si>
  <si>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</si>
  <si>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</si>
  <si>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</si>
  <si>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</si>
  <si>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</si>
  <si>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</si>
  <si>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</si>
  <si>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</si>
  <si>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</si>
  <si>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</si>
  <si>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</si>
  <si>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</si>
  <si>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</si>
  <si>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</si>
  <si>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</si>
  <si>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</si>
  <si>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</si>
  <si>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</si>
  <si>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</si>
  <si>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</si>
  <si>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</si>
  <si>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</si>
  <si>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</si>
  <si>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</si>
  <si>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</si>
  <si>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</si>
  <si>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</si>
  <si>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</si>
  <si>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</si>
  <si>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</si>
  <si>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</si>
  <si>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</si>
  <si>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</si>
  <si>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</si>
  <si>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</si>
  <si>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</si>
  <si>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</si>
  <si>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</si>
  <si>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</si>
  <si>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</si>
  <si>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</si>
  <si>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</si>
  <si>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</si>
  <si>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</si>
  <si>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</si>
  <si>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</si>
  <si>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</si>
  <si>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</si>
  <si>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</si>
  <si>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</si>
  <si>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</si>
  <si>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</si>
  <si>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</si>
  <si>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</si>
  <si>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</si>
  <si>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</si>
  <si>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</si>
  <si>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</si>
  <si>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</si>
  <si>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</si>
  <si>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</si>
  <si>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</si>
  <si>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</si>
  <si>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</si>
  <si>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</si>
  <si>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</si>
  <si>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</si>
  <si>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</si>
  <si>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</si>
  <si>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</si>
  <si>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</si>
  <si>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</si>
  <si>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</si>
  <si>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</si>
  <si>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</si>
  <si>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</si>
  <si>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</si>
  <si>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</si>
  <si>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</si>
  <si>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</si>
  <si>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</si>
  <si>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</si>
  <si>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</si>
  <si>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</si>
  <si>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</si>
  <si>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</si>
  <si>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</si>
  <si>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</si>
  <si>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</si>
  <si>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</si>
  <si>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</si>
  <si>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</si>
  <si>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</si>
  <si>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</si>
  <si>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</si>
  <si>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</si>
  <si>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</si>
  <si>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</si>
  <si>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</si>
  <si>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</si>
  <si>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</si>
  <si>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</si>
  <si>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</si>
  <si>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</si>
  <si>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</si>
  <si>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</si>
  <si>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</si>
  <si>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</si>
  <si>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</si>
  <si>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</si>
  <si>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</si>
  <si>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</si>
  <si>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</si>
  <si>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</si>
  <si>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</si>
  <si>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</si>
  <si>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</si>
  <si>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</si>
  <si>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</si>
  <si>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</si>
  <si>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</si>
  <si>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</si>
  <si>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</si>
  <si>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</si>
  <si>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</si>
  <si>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</si>
  <si>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</si>
  <si>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</si>
  <si>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</si>
  <si>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</si>
  <si>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</si>
  <si>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</si>
  <si>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</si>
  <si>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</si>
  <si>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</si>
  <si>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</si>
  <si>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</si>
  <si>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</si>
  <si>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</si>
  <si>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</si>
  <si>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</si>
  <si>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</si>
  <si>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</si>
  <si>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</si>
  <si>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</si>
  <si>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</si>
  <si>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</si>
  <si>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</si>
  <si>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</si>
  <si>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</si>
  <si>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</si>
  <si>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</si>
  <si>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</si>
  <si>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</si>
  <si>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</si>
  <si>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</si>
  <si>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</si>
  <si>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</si>
  <si>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</si>
  <si>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</si>
  <si>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</si>
  <si>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</si>
  <si>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</si>
  <si>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</si>
  <si>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</si>
  <si>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</si>
  <si>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</si>
  <si>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</si>
  <si>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</si>
  <si>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</si>
  <si>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</si>
  <si>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</si>
  <si>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</si>
  <si>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</si>
  <si>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</si>
  <si>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</si>
  <si>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</si>
  <si>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</si>
  <si>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</si>
  <si>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</si>
  <si>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</si>
  <si>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</si>
  <si>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</si>
  <si>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</si>
  <si>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</si>
  <si>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</si>
  <si>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</si>
  <si>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</si>
  <si>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</si>
  <si>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</si>
  <si>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</si>
  <si>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</si>
  <si>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</si>
  <si>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</si>
  <si>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</si>
  <si>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</si>
  <si>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</si>
  <si>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</si>
  <si>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</si>
  <si>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</si>
  <si>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</si>
  <si>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</si>
  <si>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</si>
  <si>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</si>
  <si>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</si>
  <si>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</si>
  <si>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</si>
  <si>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</si>
  <si>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</si>
  <si>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</si>
  <si>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</si>
  <si>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</si>
  <si>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</si>
  <si>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</si>
  <si>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</si>
  <si>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</si>
  <si>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</si>
  <si>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</si>
  <si>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</si>
  <si>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</si>
  <si>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</si>
  <si>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</si>
  <si>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</si>
  <si>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</si>
  <si>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</si>
  <si>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</si>
  <si>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</si>
  <si>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</si>
  <si>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</si>
  <si>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</si>
  <si>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</si>
  <si>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</si>
  <si>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</si>
  <si>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</si>
  <si>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</si>
  <si>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</si>
  <si>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</si>
  <si>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</si>
  <si>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</si>
  <si>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</si>
  <si>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</si>
  <si>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</si>
  <si>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</si>
  <si>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</si>
  <si>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</si>
  <si>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</si>
  <si>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</si>
  <si>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</si>
  <si>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</si>
  <si>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</si>
  <si>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</si>
  <si>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</si>
  <si>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</si>
  <si>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</si>
  <si>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</si>
  <si>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</si>
  <si>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</si>
  <si>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</si>
  <si>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</si>
  <si>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</si>
  <si>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</si>
  <si>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</si>
  <si>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</si>
  <si>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</si>
  <si>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</si>
  <si>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</si>
  <si>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</si>
  <si>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</si>
  <si>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</si>
  <si>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</si>
  <si>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</si>
  <si>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</si>
  <si>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</si>
  <si>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</si>
  <si>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</si>
  <si>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</si>
  <si>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</si>
  <si>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</si>
  <si>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</si>
  <si>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</si>
  <si>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</si>
  <si>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</si>
  <si>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</si>
  <si>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</si>
  <si>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</si>
  <si>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</si>
  <si>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</si>
  <si>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</si>
  <si>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</si>
  <si>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</si>
  <si>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</si>
  <si>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</si>
  <si>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</si>
  <si>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</si>
  <si>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</si>
  <si>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</si>
  <si>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</si>
  <si>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</si>
  <si>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</si>
  <si>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</si>
  <si>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</si>
  <si>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</si>
  <si>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</si>
  <si>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</si>
  <si>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</si>
  <si>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</si>
  <si>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</si>
  <si>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</si>
  <si>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</si>
  <si>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</si>
  <si>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</si>
  <si>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</si>
  <si>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</si>
  <si>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</si>
  <si>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</si>
  <si>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</si>
  <si>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</si>
  <si>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</si>
  <si>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</si>
  <si>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</si>
  <si>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</si>
  <si>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</si>
  <si>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</si>
  <si>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</si>
  <si>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</si>
  <si>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</si>
  <si>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</si>
  <si>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</si>
  <si>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</si>
  <si>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</si>
  <si>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</si>
  <si>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</si>
  <si>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</si>
  <si>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</si>
  <si>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</si>
  <si>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</si>
  <si>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</si>
  <si>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</si>
  <si>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</si>
  <si>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</si>
  <si>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</si>
  <si>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</si>
  <si>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</si>
  <si>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</si>
  <si>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</si>
  <si>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</si>
  <si>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</si>
  <si>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</si>
  <si>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</si>
  <si>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</si>
  <si>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</si>
  <si>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</si>
  <si>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</si>
  <si>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</si>
  <si>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</si>
  <si>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</si>
  <si>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</si>
  <si>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</si>
  <si>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</si>
  <si>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</si>
  <si>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</si>
  <si>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</si>
  <si>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</si>
  <si>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</si>
  <si>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</si>
  <si>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</si>
  <si>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</si>
  <si>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</si>
  <si>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</si>
  <si>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</si>
  <si>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</si>
  <si>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</si>
  <si>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</si>
  <si>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</si>
  <si>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</si>
  <si>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</si>
  <si>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</si>
  <si>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</si>
  <si>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</si>
  <si>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</si>
  <si>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</si>
  <si>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</si>
  <si>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</si>
  <si>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</si>
  <si>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</si>
  <si>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</si>
  <si>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</si>
  <si>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</si>
  <si>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</si>
  <si>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</si>
  <si>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</si>
  <si>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</si>
  <si>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</si>
  <si>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</si>
  <si>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</si>
  <si>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</si>
  <si>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</si>
  <si>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</si>
  <si>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</si>
  <si>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</si>
  <si>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</si>
  <si>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</si>
  <si>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</si>
  <si>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</si>
  <si>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</si>
  <si>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</si>
  <si>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</si>
  <si>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</si>
  <si>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</si>
  <si>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</si>
  <si>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</si>
  <si>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</si>
  <si>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</si>
  <si>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</si>
  <si>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</si>
  <si>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</si>
  <si>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</si>
  <si>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</si>
  <si>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</si>
  <si>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</si>
  <si>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</si>
  <si>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</si>
  <si>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</si>
  <si>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</si>
  <si>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</si>
  <si>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</si>
  <si>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</si>
  <si>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</si>
  <si>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</si>
  <si>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</si>
  <si>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</si>
  <si>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</si>
  <si>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</si>
  <si>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</si>
  <si>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</si>
  <si>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</si>
  <si>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</si>
  <si>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</si>
  <si>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</si>
  <si>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</si>
  <si>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</si>
  <si>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</si>
  <si>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</si>
  <si>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</si>
  <si>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</si>
  <si>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</si>
  <si>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</si>
  <si>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</si>
  <si>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</si>
  <si>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</si>
  <si>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</si>
  <si>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</si>
  <si>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</si>
  <si>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</si>
  <si>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</si>
  <si>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</si>
  <si>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</si>
  <si>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</si>
  <si>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</si>
  <si>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</si>
  <si>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</si>
  <si>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</si>
  <si>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</si>
  <si>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</si>
  <si>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</si>
  <si>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</si>
  <si>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</si>
  <si>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</si>
  <si>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</si>
  <si>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</si>
  <si>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</si>
  <si>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</si>
  <si>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</si>
  <si>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</si>
  <si>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</si>
  <si>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</si>
  <si>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</si>
  <si>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</si>
  <si>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</si>
  <si>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</si>
  <si>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</si>
  <si>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</si>
  <si>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</si>
  <si>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</si>
  <si>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</si>
  <si>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</si>
  <si>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</si>
  <si>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</si>
  <si>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</si>
  <si>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</si>
  <si>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</si>
  <si>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</si>
  <si>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</si>
  <si>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</si>
  <si>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</si>
  <si>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</si>
  <si>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</si>
  <si>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</si>
  <si>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</si>
  <si>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</si>
  <si>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</si>
  <si>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</si>
  <si>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</si>
  <si>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</si>
  <si>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</si>
  <si>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</si>
  <si>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</si>
  <si>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</si>
  <si>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</si>
  <si>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</si>
  <si>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</si>
  <si>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</si>
  <si>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</si>
  <si>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</si>
  <si>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</si>
  <si>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</si>
  <si>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</si>
  <si>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</si>
  <si>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</si>
  <si>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</si>
  <si>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</si>
  <si>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</si>
  <si>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</si>
  <si>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</si>
  <si>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</si>
  <si>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</si>
  <si>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</si>
  <si>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</si>
  <si>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</si>
  <si>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</si>
  <si>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</si>
  <si>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</si>
  <si>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</si>
  <si>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</si>
  <si>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</si>
  <si>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</si>
  <si>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</si>
  <si>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</si>
  <si>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</si>
  <si>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</si>
  <si>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</si>
  <si>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</si>
  <si>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</si>
  <si>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</si>
  <si>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</si>
  <si>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</si>
  <si>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</si>
  <si>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</si>
  <si>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</si>
  <si>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</si>
  <si>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</si>
  <si>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</si>
  <si>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</si>
  <si>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</si>
  <si>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</si>
  <si>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</si>
  <si>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</si>
  <si>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</si>
  <si>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</si>
  <si>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</si>
  <si>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</si>
  <si>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</si>
  <si>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</si>
  <si>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</si>
  <si>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</si>
  <si>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</si>
  <si>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</si>
  <si>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</si>
  <si>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</si>
  <si>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</si>
  <si>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</si>
  <si>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</si>
  <si>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</si>
  <si>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</si>
  <si>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</si>
  <si>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</si>
  <si>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</si>
  <si>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</si>
  <si>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</si>
  <si>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</si>
  <si>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</si>
  <si>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</si>
  <si>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</si>
  <si>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</si>
  <si>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</si>
  <si>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</si>
  <si>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</si>
  <si>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</si>
  <si>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</si>
  <si>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</si>
  <si>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</si>
  <si>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</si>
  <si>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</si>
  <si>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</si>
  <si>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</si>
  <si>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</si>
  <si>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</si>
  <si>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</si>
  <si>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</si>
  <si>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</si>
  <si>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</si>
  <si>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</si>
  <si>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</si>
  <si>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</si>
  <si>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</si>
  <si>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</si>
  <si>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</si>
  <si>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</si>
  <si>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</si>
  <si>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</si>
  <si>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</si>
  <si>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</si>
  <si>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</si>
  <si>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</si>
  <si>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</si>
  <si>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</si>
  <si>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</si>
  <si>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</si>
  <si>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</si>
  <si>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</si>
  <si>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</si>
  <si>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</si>
  <si>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</si>
  <si>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</si>
  <si>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</si>
  <si>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</si>
  <si>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</si>
  <si>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</si>
  <si>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</si>
  <si>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</si>
  <si>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</si>
  <si>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</si>
  <si>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</si>
  <si>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</si>
  <si>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</si>
  <si>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</si>
  <si>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</si>
  <si>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</si>
  <si>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</si>
  <si>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</si>
  <si>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</si>
  <si>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</si>
  <si>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</si>
  <si>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</si>
  <si>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</si>
  <si>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</si>
  <si>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</si>
  <si>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</si>
  <si>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</si>
  <si>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</si>
  <si>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</si>
  <si>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</si>
  <si>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</si>
  <si>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</si>
  <si>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</si>
  <si>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</si>
  <si>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</si>
  <si>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</si>
  <si>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</si>
  <si>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</si>
  <si>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</si>
  <si>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</si>
  <si>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</si>
  <si>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</si>
  <si>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</si>
  <si>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</si>
  <si>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</si>
  <si>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</si>
  <si>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</si>
  <si>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</si>
  <si>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</si>
  <si>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</si>
  <si>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</si>
  <si>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</si>
  <si>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</si>
  <si>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</si>
  <si>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</si>
  <si>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</si>
  <si>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</si>
  <si>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</si>
  <si>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</si>
  <si>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</si>
  <si>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</si>
  <si>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</si>
  <si>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</si>
  <si>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</si>
  <si>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</si>
  <si>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</si>
  <si>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</si>
  <si>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</si>
  <si>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</si>
  <si>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</si>
  <si>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</si>
  <si>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</si>
  <si>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</si>
  <si>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</si>
  <si>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</si>
  <si>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</si>
  <si>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</si>
  <si>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</si>
  <si>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</si>
  <si>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</si>
  <si>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</si>
  <si>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</si>
  <si>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</si>
  <si>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</si>
  <si>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</si>
  <si>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</si>
  <si>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</si>
  <si>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</si>
  <si>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</si>
  <si>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</si>
  <si>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</si>
  <si>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</si>
  <si>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</si>
  <si>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</si>
  <si>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</si>
  <si>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</si>
  <si>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</si>
  <si>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</si>
  <si>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</si>
  <si>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</si>
  <si>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</si>
  <si>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</si>
  <si>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</si>
  <si>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</si>
  <si>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</si>
  <si>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</si>
  <si>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</si>
  <si>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</si>
  <si>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</si>
  <si>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</si>
  <si>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</si>
  <si>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</si>
  <si>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</si>
  <si>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</si>
  <si>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</si>
  <si>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</si>
  <si>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</si>
  <si>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</si>
  <si>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</si>
  <si>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</si>
  <si>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</si>
  <si>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</si>
  <si>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</si>
  <si>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</si>
  <si>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</si>
  <si>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</si>
  <si>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</si>
  <si>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</si>
  <si>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</si>
  <si>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</si>
  <si>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</si>
  <si>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</si>
  <si>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</si>
  <si>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</si>
  <si>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</si>
  <si>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</si>
  <si>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</si>
  <si>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</si>
  <si>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</si>
  <si>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</si>
  <si>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</si>
  <si>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</si>
  <si>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</si>
  <si>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</si>
  <si>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</si>
  <si>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</si>
  <si>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</si>
  <si>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</si>
  <si>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</si>
  <si>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</si>
  <si>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</si>
  <si>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</si>
  <si>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</si>
  <si>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</si>
  <si>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</si>
  <si>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</si>
  <si>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</si>
  <si>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</si>
  <si>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</si>
  <si>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</si>
  <si>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</si>
  <si>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</si>
  <si>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</si>
  <si>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</si>
  <si>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</si>
  <si>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</si>
  <si>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</si>
  <si>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</si>
  <si>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</si>
  <si>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</si>
  <si>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</si>
  <si>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</si>
  <si>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</si>
  <si>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</si>
  <si>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</si>
  <si>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</si>
  <si>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</si>
  <si>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</si>
  <si>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</si>
  <si>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</si>
  <si>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</si>
  <si>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</si>
  <si>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</si>
  <si>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</si>
  <si>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</si>
  <si>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</si>
  <si>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</si>
  <si>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</si>
  <si>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</si>
  <si>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</si>
  <si>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</si>
  <si>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</si>
  <si>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</si>
  <si>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</si>
  <si>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</si>
  <si>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</si>
  <si>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</si>
  <si>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</si>
  <si>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</si>
  <si>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</si>
  <si>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</si>
  <si>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</si>
  <si>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</si>
  <si>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</si>
  <si>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</si>
  <si>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</si>
  <si>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</si>
  <si>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</si>
  <si>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</si>
  <si>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</si>
  <si>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</si>
  <si>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</si>
  <si>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</si>
  <si>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</si>
  <si>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</si>
  <si>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</si>
  <si>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</si>
  <si>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</si>
  <si>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</si>
  <si>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</si>
  <si>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</si>
  <si>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</si>
  <si>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</si>
  <si>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</si>
  <si>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</si>
  <si>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</si>
  <si>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</si>
  <si>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</si>
  <si>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</si>
  <si>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</si>
  <si>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</si>
  <si>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</si>
  <si>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</si>
  <si>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</si>
  <si>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</si>
  <si>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</si>
  <si>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</si>
  <si>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</si>
  <si>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</si>
  <si>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</si>
  <si>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</si>
  <si>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</si>
  <si>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</si>
  <si>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</si>
  <si>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</si>
  <si>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</si>
  <si>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</si>
  <si>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</si>
  <si>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</si>
  <si>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</si>
  <si>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</si>
  <si>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</si>
  <si>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</si>
  <si>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</si>
  <si>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</si>
  <si>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</si>
  <si>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</si>
  <si>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</si>
  <si>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</si>
  <si>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</si>
  <si>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</si>
  <si>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</si>
  <si>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</si>
  <si>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</si>
  <si>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</si>
  <si>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</si>
  <si>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</si>
  <si>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</si>
  <si>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</si>
  <si>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5Q0.804.132</t>
  </si>
  <si>
    <t>5Q0.804.070</t>
  </si>
  <si>
    <t>5qa802035b_018_sps0012_R</t>
  </si>
  <si>
    <t>KJLTVR31380R01</t>
  </si>
  <si>
    <t>X</t>
  </si>
  <si>
    <t>66-59D363989</t>
  </si>
  <si>
    <t>5QA.803.108</t>
  </si>
  <si>
    <t>5qa802035b_038_anps0001_R</t>
  </si>
  <si>
    <t>5qa802035b_018_sps0017_R</t>
  </si>
  <si>
    <t>5qa802035b_040_apps0005_R</t>
  </si>
  <si>
    <t>5qa802035b_018_sps0015_R</t>
  </si>
  <si>
    <t>5qa802035b_018_sps0032_R</t>
  </si>
  <si>
    <t>5qa802035b_018_sps0022_R</t>
  </si>
  <si>
    <t>ST1380</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</si>
</sst>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6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1380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a16="http://schemas.microsoft.com/office/drawing/2014/main" xmlns="" id="{D7885A7C-7CD0-427C-AB3F-785C950C03D8}"/>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a16="http://schemas.microsoft.com/office/drawing/2014/main" xmlns="" id="{DF3D4055-67C6-4753-BF1D-5277230BA586}"/>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1380R01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a16="http://schemas.microsoft.com/office/drawing/2014/main" xmlns="" id="{9F65056F-D983-4C53-BA49-DD91E9C4FFFC}"/>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a16="http://schemas.microsoft.com/office/drawing/2014/main" xmlns="" id="{6F864CE9-C86C-4EB6-A1A9-DD8C2EB3F472}"/>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a16="http://schemas.microsoft.com/office/drawing/2014/main" xmlns="" id="{C9ECA058-7D4C-45F2-94BB-F6D792430851}"/>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199117</xdr:colOff>
      <xdr:row>42</xdr:row>
      <xdr:rowOff>15874</xdr:rowOff>
    </xdr:from>
    <xdr:to>
      <xdr:col>8</xdr:col>
      <xdr:colOff>1008742</xdr:colOff>
      <xdr:row>49</xdr:row>
      <xdr:rowOff>24461</xdr:rowOff>
    </xdr:to>
    <xdr:pic>
      <xdr:nvPicPr>
        <xdr:cNvPr id="20" name="Imagem 19">
          <a:extLst>
            <a:ext uri="{FF2B5EF4-FFF2-40B4-BE49-F238E27FC236}">
              <a16:creationId xmlns:a16="http://schemas.microsoft.com/office/drawing/2014/main" xmlns="" id="{F3135AE0-F188-4CC9-A8FD-7481B82608B5}"/>
            </a:ext>
          </a:extLst>
        </xdr:cNvPr>
        <xdr:cNvPicPr>
          <a:picLocks noChangeAspect="1"/>
        </xdr:cNvPicPr>
      </xdr:nvPicPr>
      <xdr:blipFill>
        <a:blip xmlns:r="http://schemas.openxmlformats.org/officeDocument/2006/relationships" r:embed="rId2"/>
        <a:stretch>
          <a:fillRect/>
        </a:stretch>
      </xdr:blipFill>
      <xdr:spPr>
        <a:xfrm flipH="1" flipV="1">
          <a:off x="1119867" y="9350374"/>
          <a:ext cx="2635250" cy="1564337"/>
        </a:xfrm>
        <a:prstGeom prst="rect">
          <a:avLst/>
        </a:prstGeom>
      </xdr:spPr>
    </xdr:pic>
    <xdr:clientData/>
  </xdr:twoCellAnchor>
  <xdr:twoCellAnchor editAs="oneCell">
    <xdr:from>
      <xdr:col>9</xdr:col>
      <xdr:colOff>24492</xdr:colOff>
      <xdr:row>10</xdr:row>
      <xdr:rowOff>174625</xdr:rowOff>
    </xdr:from>
    <xdr:to>
      <xdr:col>33</xdr:col>
      <xdr:colOff>604215</xdr:colOff>
      <xdr:row>35</xdr:row>
      <xdr:rowOff>127000</xdr:rowOff>
    </xdr:to>
    <xdr:pic>
      <xdr:nvPicPr>
        <xdr:cNvPr id="21" name="Imagem 20">
          <a:extLst>
            <a:ext uri="{FF2B5EF4-FFF2-40B4-BE49-F238E27FC236}">
              <a16:creationId xmlns:a16="http://schemas.microsoft.com/office/drawing/2014/main" xmlns="" id="{A6D25355-5D71-400C-BBF1-4D63292E6B47}"/>
            </a:ext>
          </a:extLst>
        </xdr:cNvPr>
        <xdr:cNvPicPr>
          <a:picLocks noChangeAspect="1"/>
        </xdr:cNvPicPr>
      </xdr:nvPicPr>
      <xdr:blipFill>
        <a:blip xmlns:r="http://schemas.openxmlformats.org/officeDocument/2006/relationships" r:embed="rId3"/>
        <a:stretch>
          <a:fillRect/>
        </a:stretch>
      </xdr:blipFill>
      <xdr:spPr>
        <a:xfrm>
          <a:off x="4024992" y="2397125"/>
          <a:ext cx="12676473" cy="5508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V49" sqref="V49"/>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1380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1943</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1928</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63"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opLeftCell="A10" zoomScale="60" zoomScaleNormal="60" zoomScaleSheetLayoutView="50" workbookViewId="0">
      <selection activeCell="AM36" sqref="AM3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1380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ST1380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zoomScale="85" zoomScaleNormal="85" zoomScaleSheetLayoutView="40" zoomScalePageLayoutView="10" workbookViewId="0">
      <selection activeCell="Q26" sqref="Q26"/>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Karosseriebau</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Punktschweißen</v>
      </c>
      <c r="D4" s="774"/>
      <c r="E4" s="774"/>
      <c r="F4" s="774"/>
      <c r="G4" s="774"/>
      <c r="H4" s="774"/>
      <c r="I4" s="774"/>
      <c r="J4" s="774"/>
      <c r="K4" s="774"/>
      <c r="L4" s="775"/>
      <c r="M4" s="1048" t="str">
        <f>IF($E$6="DE","Zeichnungsstand:","Dwg release:")</f>
        <v>Zeichnungsstand:</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Elektrodenkappe</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1175</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1927</v>
      </c>
      <c r="U6" s="1060"/>
      <c r="V6" s="1060"/>
      <c r="W6" s="1060"/>
      <c r="X6" s="1060"/>
      <c r="Y6" s="1060"/>
      <c r="Z6" s="1060"/>
      <c r="AA6" s="1060"/>
      <c r="AB6" s="1060"/>
      <c r="AC6" s="1060"/>
      <c r="AD6" s="1060"/>
      <c r="AE6" s="1060"/>
      <c r="AF6" s="1060"/>
      <c r="AG6" s="1061"/>
      <c r="AH6" s="703" t="str">
        <f>IF($E$6="DE","Sonderelektrode (manuelle Auswahl)","Special Electrode Cap (manual selection)")</f>
        <v>Sonderelektrode (manuelle Auswahl)</v>
      </c>
      <c r="AI6" s="704"/>
      <c r="AJ6" s="705"/>
      <c r="AK6" s="728" t="str">
        <f>IF($E$6="DE","Sonderfräsmesser (manuelle Auswahl)","Special Tip-Dresser (manual selection)")</f>
        <v>Sonderfräsmesser (manuelle Auswahl)</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Doppelzange (J/N)</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Punkt- Nummer (Index)</v>
      </c>
      <c r="D9" s="779" t="str">
        <f>IF($E$6="DE","Punkt- Name                                                   (FE - Bezeichnung)","Welding-Spot Number                                              (FE - designition)")</f>
        <v>Punkt- Name                                                   (FE - Bezeichnung)</v>
      </c>
      <c r="E9" s="782" t="str">
        <f>IF($E$6="DE","Schweißkoffer","Welding case-No.")</f>
        <v>Schweißkoffer</v>
      </c>
      <c r="F9" s="782" t="str">
        <f>IF($E$6="DE","Schweißen durch Rob. IR .. /                                Werker WA ..","Welding with Rob. IR ... /                    Worker WR No …")</f>
        <v>Schweißen durch Rob. IR .. /                                Werker WA ..</v>
      </c>
      <c r="G9" s="782" t="str">
        <f>IF($E$6="DE","Schweißzangen-Typ","Weldgun - Type")</f>
        <v>Schweißzangen-Typ</v>
      </c>
      <c r="H9" s="785" t="str">
        <f>IF($E$6="DE","Schweißzangen-Nr.","Weldgun drawing No.")</f>
        <v>Schweißzangen-Nr.</v>
      </c>
      <c r="I9" s="788" t="str">
        <f>IF($E$6="DE","Trafo","Weld-Transformer")</f>
        <v>Trafo</v>
      </c>
      <c r="J9" s="791" t="str">
        <f>IF($E$6="DE","Netzlinien","Car Netline")</f>
        <v>Netzlinien</v>
      </c>
      <c r="K9" s="792"/>
      <c r="L9" s="793"/>
      <c r="M9" s="791" t="str">
        <f>IF($E$6="DE","Blechpaarung","Sheet metal stack")</f>
        <v>Blechpaarung</v>
      </c>
      <c r="N9" s="792"/>
      <c r="O9" s="794"/>
      <c r="P9" s="770" t="str">
        <f>IF($E$6="DE","Blechdicke / Werkstoff","Sheet Thickness / Material")</f>
        <v>Blechdicke / Werkstoff</v>
      </c>
      <c r="Q9" s="771"/>
      <c r="R9" s="771"/>
      <c r="S9" s="771"/>
      <c r="T9" s="771"/>
      <c r="U9" s="771"/>
      <c r="V9" s="771"/>
      <c r="W9" s="771"/>
      <c r="X9" s="772"/>
      <c r="Y9" s="450"/>
      <c r="Z9" s="1069" t="str">
        <f>IF($E$6="DE","Zwischenrechnung","theoretical Values")</f>
        <v>Zwischenrechnung</v>
      </c>
      <c r="AA9" s="1070"/>
      <c r="AB9" s="1071"/>
      <c r="AC9" s="681" t="str">
        <f>IF($E$6="DE","Schweißparameter","Welding Parameters")</f>
        <v>Schweißparameter</v>
      </c>
      <c r="AD9" s="681"/>
      <c r="AE9" s="682"/>
      <c r="AF9" s="1037" t="str">
        <f>IF($E$6="DE","Anforderung","Requirement")</f>
        <v>Anforderung</v>
      </c>
      <c r="AG9" s="1038"/>
      <c r="AH9" s="699" t="str">
        <f>IF($E$6="DE","benötigte Elektrodenkappen für Schweißpunkt","required Electrode Caps for Spot")</f>
        <v>benötigte Elektrodenkappen für Schweißpunkt</v>
      </c>
      <c r="AI9" s="700"/>
      <c r="AJ9" s="700"/>
      <c r="AK9" s="701"/>
      <c r="AL9" s="702"/>
      <c r="AM9" s="709" t="str">
        <f>IF($E$6="DE","Bemerkung","Comments")</f>
        <v>Bemerkung</v>
      </c>
      <c r="AN9" s="710"/>
      <c r="AO9" s="699" t="str">
        <f>IF($E$6="DE","Schweißpunkte gültig für folgende Typen:","Welding Spots valid for the following Types")</f>
        <v>Schweißpunkte gültig für folgende Typen:</v>
      </c>
      <c r="AP9" s="700"/>
      <c r="AQ9" s="700"/>
      <c r="AR9" s="700"/>
      <c r="AS9" s="700"/>
      <c r="AT9" s="700"/>
      <c r="AU9" s="700"/>
      <c r="AV9" s="700"/>
      <c r="AW9" s="700"/>
      <c r="AX9" s="700"/>
      <c r="AY9" s="700"/>
      <c r="AZ9" s="700"/>
      <c r="BA9" s="700"/>
      <c r="BB9" s="727"/>
      <c r="BC9" s="282"/>
      <c r="BD9" s="282"/>
      <c r="BE9" s="282"/>
      <c r="BF9" s="282"/>
      <c r="BH9" s="306" t="s">
        <v>1724</v>
      </c>
      <c r="BI9" s="306" t="b">
        <f>(COUNTIF(G19:G43,"x"))&gt;0</f>
        <v>1</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Zeichnungsnummer</v>
      </c>
      <c r="N10" s="805"/>
      <c r="O10" s="805"/>
      <c r="P10" s="746" t="s">
        <v>57</v>
      </c>
      <c r="Q10" s="965" t="str">
        <f>IF($E$6="DE","Werkstoff 1","Material 1")</f>
        <v>Werkstoff 1</v>
      </c>
      <c r="R10" s="939" t="str">
        <f>IF($E$6="DE","Streckgrenze Re 1","Yield strength Re 1")</f>
        <v>Streckgrenze Re 1</v>
      </c>
      <c r="S10" s="989" t="s">
        <v>58</v>
      </c>
      <c r="T10" s="965" t="str">
        <f>IF($E$6="DE","Werkstoff 2","Material 2")</f>
        <v>Werkstoff 2</v>
      </c>
      <c r="U10" s="939" t="str">
        <f>IF($E$6="DE","Streckgrenze Re 2","Yield strength Re 2")</f>
        <v>Streckgrenze Re 2</v>
      </c>
      <c r="V10" s="989" t="s">
        <v>59</v>
      </c>
      <c r="W10" s="965" t="str">
        <f>IF($E$6="DE","Werkstoff 3","Material 3")</f>
        <v>Werkstoff 3</v>
      </c>
      <c r="X10" s="939" t="str">
        <f>IF($E$6="DE","Streckgrenze Re 3","Yield strength Re 3")</f>
        <v>Streckgrenze Re 3</v>
      </c>
      <c r="Y10" s="987" t="str">
        <f>IF($E$6="DE","Klebstoff (J/N)","Adhesive (J=Yes /N=No)")</f>
        <v>Klebstoff (J/N)</v>
      </c>
      <c r="Z10" s="1072" t="str">
        <f>IF($E$6="DE","Vergleichsblechdicke tv","Ref. Thickness tv")</f>
        <v>Vergleichsblechdicke tv</v>
      </c>
      <c r="AA10" s="984" t="str">
        <f>IF($E$6="DE","Zuschlag Streckgrenze ","Yield strength surcharge")</f>
        <v xml:space="preserve">Zuschlag Streckgrenze </v>
      </c>
      <c r="AB10" s="686" t="str">
        <f>IF($E$6="DE","Schweißkraft inkl. Klebstoff (Zangenauslegung)","Welding Force incl. Adhesive (Gun Calculation)")</f>
        <v>Schweißkraft inkl. Klebstoff (Zangenauslegung)</v>
      </c>
      <c r="AC10" s="1066" t="str">
        <f>IF($E$6="DE","Schweißstrom","Welding Current")</f>
        <v>Schweißstrom</v>
      </c>
      <c r="AD10" s="692" t="str">
        <f>IF($E$6="DE","Schweißzeit","Welding Time")</f>
        <v>Schweißzeit</v>
      </c>
      <c r="AE10" s="686" t="str">
        <f>IF($E$6="DE","Schweißkraft incl. Klebstoff u.  bei VW50066/TL4225- Material außen","Welding Force incl. adhesive and VW50066/TL4225-Material outside")</f>
        <v>Schweißkraft incl. Klebstoff u.  bei VW50066/TL4225- Material außen</v>
      </c>
      <c r="AF10" s="683" t="str">
        <f>IF($E$6="DE","Linsendurchmesser dn min (Blech 1 - Blech 2)","Nuggetdiameter dn min (Sheet 1 - Sheet 2)")</f>
        <v>Linsendurchmesser dn min (Blech 1 - Blech 2)</v>
      </c>
      <c r="AG10" s="686" t="str">
        <f>IF($E$6="DE","Linsendurchmesser dn min (Blech 2 - Blech 3)","Nuggetdiameter dn min (Sheet 2 - Sheet 3)")</f>
        <v>Linsendurchmesser dn min (Blech 2 - Blech 3)</v>
      </c>
      <c r="AH10" s="683" t="str">
        <f>IF($E$6="DE","Elektroden-kappen","Electrode Cap")</f>
        <v>Elektroden-kappen</v>
      </c>
      <c r="AI10" s="692" t="str">
        <f>IF($E$6="DE"," Arbeitsflächendurchm. für Elektrode an Blech 1 (AF1)","Electrode Tip Diameter                       on Sheet 1 (AF1)")</f>
        <v xml:space="preserve"> Arbeitsflächendurchm. für Elektrode an Blech 1 (AF1)</v>
      </c>
      <c r="AJ10" s="692" t="str">
        <f>IF($E$6="DE","Arbeitsflächenradius für Elektrode an Blech 1 (R1)","Electrode Tip Radius                    on Sheet 1 (R1)")</f>
        <v>Arbeitsflächenradius für Elektrode an Blech 1 (R1)</v>
      </c>
      <c r="AK10" s="1057" t="str">
        <f>IF($E$6="DE","Arbeitsflächendurchm. für Elektrode an Blech 2/3 (AF2/3)","Electrode Tip Diameter                      on Sheet 2/3 (AF2/3)")</f>
        <v>Arbeitsflächendurchm. für Elektrode an Blech 2/3 (AF2/3)</v>
      </c>
      <c r="AL10" s="1013" t="str">
        <f>IF($E$6="DE","Arbeitsflächenradius für Elektrode an Blech 2/3 (R2/3)","Electrode Tip Radius                   on Sheet 2 (R2/3)")</f>
        <v>Arbeitsflächenradius für Elektrode an Blech 2/3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7.1158099999999997</v>
      </c>
      <c r="D19" s="308" t="s">
        <v>1932</v>
      </c>
      <c r="E19" s="309" t="s">
        <v>1188</v>
      </c>
      <c r="F19" s="310" t="s">
        <v>1933</v>
      </c>
      <c r="G19" s="336" t="s">
        <v>1934</v>
      </c>
      <c r="H19" s="311" t="s">
        <v>1935</v>
      </c>
      <c r="I19" s="478" t="s">
        <v>1188</v>
      </c>
      <c r="J19" s="312">
        <v>92.02</v>
      </c>
      <c r="K19" s="313">
        <v>476.53</v>
      </c>
      <c r="L19" s="314">
        <v>221.54</v>
      </c>
      <c r="M19" s="315" t="s">
        <v>1929</v>
      </c>
      <c r="N19" s="316" t="s">
        <v>1936</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7.1158200000000003</v>
      </c>
      <c r="D20" s="333" t="s">
        <v>1937</v>
      </c>
      <c r="E20" s="334" t="s">
        <v>1188</v>
      </c>
      <c r="F20" s="335" t="s">
        <v>1933</v>
      </c>
      <c r="G20" s="336" t="s">
        <v>1934</v>
      </c>
      <c r="H20" s="337" t="s">
        <v>1935</v>
      </c>
      <c r="I20" s="479" t="s">
        <v>1188</v>
      </c>
      <c r="J20" s="338">
        <v>57.88</v>
      </c>
      <c r="K20" s="339">
        <v>461.02</v>
      </c>
      <c r="L20" s="340">
        <v>68.77</v>
      </c>
      <c r="M20" s="341" t="s">
        <v>1930</v>
      </c>
      <c r="N20" s="342" t="s">
        <v>1929</v>
      </c>
      <c r="O20" s="343" t="s">
        <v>1936</v>
      </c>
      <c r="P20" s="319">
        <v>3</v>
      </c>
      <c r="Q20" s="320" t="s">
        <v>631</v>
      </c>
      <c r="R20" s="344">
        <f>IF(AND(ISBLANK(P20),ISTEXT(Q20)),"t1?",IF(AND(ISBLANK(Q20),ISBLANK(P20)),"",VLOOKUP(BH20,Materialliste!$A$2:$B$1615,2,FALSE)))</f>
        <v>380</v>
      </c>
      <c r="S20" s="319">
        <v>2.1</v>
      </c>
      <c r="T20" s="320" t="s">
        <v>1129</v>
      </c>
      <c r="U20" s="345">
        <f>IF(AND(ISBLANK(S20),ISTEXT(T20)),"t2?",IF(AND(ISBLANK(T20),ISBLANK(S20)),"",VLOOKUP(BI20,Materialliste!$A$2:$B$1615,2,FALSE)))</f>
        <v>1250</v>
      </c>
      <c r="V20" s="319">
        <v>1.7</v>
      </c>
      <c r="W20" s="320" t="s">
        <v>1004</v>
      </c>
      <c r="X20" s="345">
        <f>IF(AND(ISBLANK(V20),ISTEXT(W20)),"t3?",IF(AND(ISBLANK(W20),ISBLANK(V20)),"",VLOOKUP(BJ20,Materialliste!$A$2:$B$1615,2,FALSE)))</f>
        <v>550</v>
      </c>
      <c r="Y20" s="443" t="s">
        <v>1925</v>
      </c>
      <c r="Z20" s="346">
        <f t="shared" si="0"/>
        <v>2.2800000000000002</v>
      </c>
      <c r="AA20" s="347">
        <f t="shared" ref="AA20:AA43" si="11">IF(AND(ISNUMBER(R20),ISNUMBER(U20)),IF(ISTEXT(X20),(R20+U20)/(220*3*10)+0.9,(R20+U20+X20)/(220*3*10)+0.9),"?Re")</f>
        <v>1.2303030303030305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5.2078303030303044</v>
      </c>
      <c r="AC20" s="348">
        <f t="shared" ref="AC20:AC43" si="13">IF(AND(BT20="J",OR(G20="C",G20="X")),39,IF(OR(G20="C",G20="X"),IF(Z20="BLECH?","",IF(AND(BX20=TRUE,BZ20=TRUE),IF(Z20&lt;=2,((1.13*Z20+7.1+BY20)+(1.13*Z20+7.1+CA20))/2*BW20,((1.5*Z20+5.8+BY20)+(1.5*Z20+5.8+CA20))/2*BW20),IF(Z20&lt;=2,(1.13*Z20+7.1+BY20+CA20)*BW20,(1.5*Z20+5.8+BY20+CA20)*BW20))),IF(OR(G20="B",G20="S"),6,IF(G20="R",7,IF(AND(G20="M",BT20="N"),4.3,IF(AND(G20="M",BT20="J"),"21",""))))))</f>
        <v>8.5200000000000014</v>
      </c>
      <c r="AD20" s="323">
        <f t="shared" si="1"/>
        <v>900</v>
      </c>
      <c r="AE20" s="349">
        <f t="shared" ref="AE20:AE43" si="14">IF(AND(BT20="J",OR(G20="C",G20="X")),AB20*1,IF(OR(G20="C",G20="X"),AB20*BV20,IF(ISBLANK(G20),AB20,AB20*1)))</f>
        <v>5.2078303030303044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4.5634416836418543</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CR300LA-UC</v>
      </c>
      <c r="BI20" s="473" t="str">
        <f t="shared" si="4"/>
        <v>TL 4225-AS30/30</v>
      </c>
      <c r="BJ20" s="473" t="str">
        <f t="shared" si="5"/>
        <v>CR440Y780T-DP-GI40/40</v>
      </c>
      <c r="BM20" s="474">
        <f t="shared" si="6"/>
        <v>3</v>
      </c>
      <c r="BN20" s="475">
        <f t="shared" ref="BN20:BN43" si="22">LARGE(BO20:BQ20,2)</f>
        <v>2.1</v>
      </c>
      <c r="BO20" s="474">
        <f t="shared" si="7"/>
        <v>3</v>
      </c>
      <c r="BP20" s="474">
        <f t="shared" si="8"/>
        <v>2.1</v>
      </c>
      <c r="BQ20" s="474">
        <f t="shared" si="9"/>
        <v>1.7</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7.1158299999999999</v>
      </c>
      <c r="D21" s="333" t="s">
        <v>1938</v>
      </c>
      <c r="E21" s="334" t="s">
        <v>1188</v>
      </c>
      <c r="F21" s="335" t="s">
        <v>1933</v>
      </c>
      <c r="G21" s="336" t="s">
        <v>1934</v>
      </c>
      <c r="H21" s="337" t="s">
        <v>1935</v>
      </c>
      <c r="I21" s="479" t="s">
        <v>1188</v>
      </c>
      <c r="J21" s="338">
        <v>-193.21</v>
      </c>
      <c r="K21" s="339">
        <v>494.47</v>
      </c>
      <c r="L21" s="340">
        <v>150.38999999999999</v>
      </c>
      <c r="M21" s="341" t="s">
        <v>1929</v>
      </c>
      <c r="N21" s="342" t="s">
        <v>1936</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2"/>
      <c r="B22" s="281"/>
      <c r="C22" s="332">
        <v>7.1158400000000004</v>
      </c>
      <c r="D22" s="333" t="s">
        <v>1939</v>
      </c>
      <c r="E22" s="334" t="s">
        <v>1188</v>
      </c>
      <c r="F22" s="335" t="s">
        <v>1933</v>
      </c>
      <c r="G22" s="336" t="s">
        <v>1934</v>
      </c>
      <c r="H22" s="337" t="s">
        <v>1935</v>
      </c>
      <c r="I22" s="479" t="s">
        <v>1188</v>
      </c>
      <c r="J22" s="338">
        <v>-304.01</v>
      </c>
      <c r="K22" s="339">
        <v>535.13</v>
      </c>
      <c r="L22" s="340">
        <v>332.54</v>
      </c>
      <c r="M22" s="341" t="s">
        <v>1936</v>
      </c>
      <c r="N22" s="342" t="s">
        <v>1931</v>
      </c>
      <c r="O22" s="343" t="s">
        <v>1188</v>
      </c>
      <c r="P22" s="319">
        <v>1.7</v>
      </c>
      <c r="Q22" s="320" t="s">
        <v>1004</v>
      </c>
      <c r="R22" s="355">
        <f>IF(AND(ISBLANK(P22),ISTEXT(Q22)),"t1?",IF(AND(ISBLANK(Q22),ISBLANK(P22)),"",VLOOKUP(BH22,Materialliste!$A$2:$B$1615,2,FALSE)))</f>
        <v>550</v>
      </c>
      <c r="S22" s="319">
        <v>1.75</v>
      </c>
      <c r="T22" s="320" t="s">
        <v>615</v>
      </c>
      <c r="U22" s="355">
        <f>IF(AND(ISBLANK(S22),ISTEXT(T22)),"t2?",IF(AND(ISBLANK(T22),ISBLANK(S22)),"",VLOOKUP(BI22,Materialliste!$A$2:$B$1615,2,FALSE)))</f>
        <v>350</v>
      </c>
      <c r="V22" s="319"/>
      <c r="W22" s="356"/>
      <c r="X22" s="355" t="str">
        <f>IF(AND(ISBLANK(V22),ISTEXT(W22)),"t3?",IF(AND(ISBLANK(W22),ISBLANK(V22)),"",VLOOKUP(BJ22,Materialliste!$A$2:$B$1615,2,FALSE)))</f>
        <v/>
      </c>
      <c r="Y22" s="443" t="s">
        <v>1925</v>
      </c>
      <c r="Z22" s="346">
        <f t="shared" si="0"/>
        <v>1.7100000000000002</v>
      </c>
      <c r="AA22" s="347">
        <f t="shared" si="11"/>
        <v>1.0363636363636364</v>
      </c>
      <c r="AB22" s="454">
        <f t="shared" si="12"/>
        <v>3.5827418181818187</v>
      </c>
      <c r="AC22" s="348">
        <f t="shared" si="13"/>
        <v>9.0322999999999993</v>
      </c>
      <c r="AD22" s="323">
        <f t="shared" si="1"/>
        <v>467.39130434782612</v>
      </c>
      <c r="AE22" s="349">
        <f t="shared" si="14"/>
        <v>3.5827418181818187</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CR440Y780T-DP-GI40/40</v>
      </c>
      <c r="BI22" s="473" t="str">
        <f t="shared" si="4"/>
        <v>CR270LA-UC</v>
      </c>
      <c r="BJ22" s="473">
        <f t="shared" si="5"/>
        <v>0</v>
      </c>
      <c r="BM22" s="474">
        <f t="shared" si="6"/>
        <v>1.75</v>
      </c>
      <c r="BN22" s="475">
        <f t="shared" si="22"/>
        <v>1.7</v>
      </c>
      <c r="BO22" s="474">
        <f t="shared" si="7"/>
        <v>1.7</v>
      </c>
      <c r="BP22" s="474">
        <f t="shared" si="8"/>
        <v>1.75</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2"/>
      <c r="B23" s="281"/>
      <c r="C23" s="332">
        <v>7.11585</v>
      </c>
      <c r="D23" s="333" t="s">
        <v>1940</v>
      </c>
      <c r="E23" s="334" t="s">
        <v>1188</v>
      </c>
      <c r="F23" s="335" t="s">
        <v>1933</v>
      </c>
      <c r="G23" s="336" t="s">
        <v>1934</v>
      </c>
      <c r="H23" s="337" t="s">
        <v>1935</v>
      </c>
      <c r="I23" s="479" t="s">
        <v>1188</v>
      </c>
      <c r="J23" s="338">
        <v>-443.5</v>
      </c>
      <c r="K23" s="339">
        <v>518.29999999999995</v>
      </c>
      <c r="L23" s="340">
        <v>150.5</v>
      </c>
      <c r="M23" s="342" t="s">
        <v>1929</v>
      </c>
      <c r="N23" s="342" t="s">
        <v>1936</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2"/>
      <c r="B24" s="281"/>
      <c r="C24" s="332">
        <v>7.1158599999999996</v>
      </c>
      <c r="D24" s="333" t="s">
        <v>1941</v>
      </c>
      <c r="E24" s="334" t="s">
        <v>1188</v>
      </c>
      <c r="F24" s="335" t="s">
        <v>1933</v>
      </c>
      <c r="G24" s="336" t="s">
        <v>1934</v>
      </c>
      <c r="H24" s="337" t="s">
        <v>1935</v>
      </c>
      <c r="I24" s="479" t="s">
        <v>1188</v>
      </c>
      <c r="J24" s="338">
        <v>-598.15</v>
      </c>
      <c r="K24" s="339">
        <v>518.29999999999995</v>
      </c>
      <c r="L24" s="340">
        <v>151</v>
      </c>
      <c r="M24" s="342" t="s">
        <v>1929</v>
      </c>
      <c r="N24" s="342" t="s">
        <v>1936</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2"/>
      <c r="B25" s="281"/>
      <c r="C25" s="332">
        <v>7.1158700000000001</v>
      </c>
      <c r="D25" s="333" t="s">
        <v>1942</v>
      </c>
      <c r="E25" s="334" t="s">
        <v>1188</v>
      </c>
      <c r="F25" s="335" t="s">
        <v>1933</v>
      </c>
      <c r="G25" s="336" t="s">
        <v>1934</v>
      </c>
      <c r="H25" s="337" t="s">
        <v>1935</v>
      </c>
      <c r="I25" s="479" t="s">
        <v>1188</v>
      </c>
      <c r="J25" s="338">
        <v>-551.02</v>
      </c>
      <c r="K25" s="339">
        <v>518.4</v>
      </c>
      <c r="L25" s="340">
        <v>294.3</v>
      </c>
      <c r="M25" s="342" t="s">
        <v>1929</v>
      </c>
      <c r="N25" s="342" t="s">
        <v>1936</v>
      </c>
      <c r="O25" s="342" t="s">
        <v>1188</v>
      </c>
      <c r="P25" s="319">
        <v>2.1</v>
      </c>
      <c r="Q25" s="320" t="s">
        <v>1129</v>
      </c>
      <c r="R25" s="355">
        <f>IF(AND(ISBLANK(P25),ISTEXT(Q25)),"t1?",IF(AND(ISBLANK(Q25),ISBLANK(P25)),"",VLOOKUP(BH25,Materialliste!$A$2:$B$1615,2,FALSE)))</f>
        <v>1250</v>
      </c>
      <c r="S25" s="319">
        <v>1.7</v>
      </c>
      <c r="T25" s="320" t="s">
        <v>1004</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1.7800000000000002</v>
      </c>
      <c r="AA25" s="347">
        <f t="shared" si="11"/>
        <v>1.1727272727272728</v>
      </c>
      <c r="AB25" s="454">
        <f t="shared" si="12"/>
        <v>4.1611527272727278</v>
      </c>
      <c r="AC25" s="348">
        <f t="shared" si="13"/>
        <v>7.1496900000000005</v>
      </c>
      <c r="AD25" s="323">
        <f t="shared" si="1"/>
        <v>813.04347826086951</v>
      </c>
      <c r="AE25" s="349">
        <f t="shared" si="14"/>
        <v>2.9128069090909094</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CR440Y780T-DP-GI40/40</v>
      </c>
      <c r="BJ25" s="473">
        <f t="shared" si="5"/>
        <v>0</v>
      </c>
      <c r="BM25" s="474">
        <f t="shared" si="6"/>
        <v>2.1</v>
      </c>
      <c r="BN25" s="475">
        <f t="shared" si="22"/>
        <v>1.7</v>
      </c>
      <c r="BO25" s="474">
        <f t="shared" si="7"/>
        <v>2.1</v>
      </c>
      <c r="BP25" s="474">
        <f t="shared" si="8"/>
        <v>1.7</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Zylinderdurchmesser [mm]                 (nur für SPZ)</v>
      </c>
      <c r="D44" s="821"/>
      <c r="E44" s="823"/>
      <c r="F44" s="818" t="str">
        <f>IF($E$6="DE","Schweißkraft min. [N]","Welding Force min. [N]")</f>
        <v>Schweißkraft min. [N]</v>
      </c>
      <c r="G44" s="819"/>
      <c r="H44" s="411">
        <f>IF(AND(AN45="JA",ISTEXT(AG47),ISNUMBER(AL47)),(IF(G6="RZ",ROUNDDOWN(MIN(AE19:AE43)*1000,-2),IF(G6="SPZ",ROUNDDOWN(MIN(AE19:AE43)*1000,-2),"Zangentyp?"))),(IF(G6="RZ",ROUNDDOWN(MIN(AB19:AB43)*1000,-2),IF(G6="SPZ",ROUNDDOWN(MIN(AB19:AB43)*1000,-2),"Zangentyp?"))))</f>
        <v>3500</v>
      </c>
      <c r="I44" s="818" t="str">
        <f>IF($E$6="DE","Ausladung [mm]","Distance to Tip [mm]")</f>
        <v>Ausladung [mm]</v>
      </c>
      <c r="J44" s="834"/>
      <c r="K44" s="833"/>
      <c r="L44" s="412"/>
      <c r="M44" s="818" t="str">
        <f>IF($E$6="DE","Zylinderkraft min. [N]","Cyl. Force min. [N]")</f>
        <v>Zylinderkraft min. [N]</v>
      </c>
      <c r="N44" s="833"/>
      <c r="O44" s="413" t="e">
        <f>IF(G8="J",(H44/L46)*2,H44/L46)</f>
        <v>#DIV/0!</v>
      </c>
      <c r="P44" s="818" t="str">
        <f>IF($E$6="DE","Zylinderdruck min. [bar]","Cyl. Pressure min. [bar]")</f>
        <v>Zylinderdruck min. [bar]</v>
      </c>
      <c r="Q44" s="833"/>
      <c r="R44" s="982" t="e">
        <f>10*O44/(H46*E46)</f>
        <v>#DIV/0!</v>
      </c>
      <c r="S44" s="983"/>
      <c r="T44" s="1001" t="str">
        <f>IF(AND($E$6="DE",G6="RZ"),"Ergebnis Zangen-/Motorauslegung",IF(AND($E$6="ENG",G6="RZ"),"Result Gun/Motor Design",IF(AND($E$6="DE",G6="SPZ"),"Ergebnis zwischen 1,0 bar und 10 bar:",IF(AND($E$6="ENG",G6="SPZ"),"Result between 1,0 bar and 10 bar:","-"))))</f>
        <v>Ergebnis zwischen 1,0 bar und 10 bar:</v>
      </c>
      <c r="U44" s="1002"/>
      <c r="V44" s="1002"/>
      <c r="W44" s="1003"/>
      <c r="X44" s="946" t="str">
        <f>IF($E$6="DE","benötigte Elektrodenkappen für Schweißzange","required Electrode Caps for Gun")</f>
        <v>benötigte Elektrodenkappen für Schweißzange</v>
      </c>
      <c r="Y44" s="947"/>
      <c r="Z44" s="948"/>
      <c r="AA44" s="1012" t="str">
        <f>IF($E$6="DE","benötigtes Fräsmesser","required Tip Dresser")</f>
        <v>benötigtes Fräsmesser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Legende der Indizes: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Schweißkraft max. [N]</v>
      </c>
      <c r="G45" s="826"/>
      <c r="H45" s="414">
        <f>IF(AND(AN45="Ja",ISTEXT(AG47),ISNUMBER(AL47)),(IF(ROUNDUP(MAX(AE19:AE43)*2300,-3)&gt;5000,(ROUNDUP(MAX(AE19:AE43)*2300,-3)/2),2500)),(IF(ROUNDUP(MAX(AB19:AB43)*2200,-3)&gt;5000,(ROUNDUP(MAX(AB19:AB43)*2200,-3)/2),IF(BL9=TRUE,1100,2500))))</f>
        <v>6000</v>
      </c>
      <c r="I45" s="825" t="str">
        <f>IF(G6="RZ",IF($E$6="DE","Abstand Motor [mm]","Distance to Motor [mm]"),IF($E$6="DE","Abstand Zylinder [mm]","Distance to Cylinder [mm]"))</f>
        <v>Abstand Zylinder [mm]</v>
      </c>
      <c r="J45" s="835"/>
      <c r="K45" s="826"/>
      <c r="L45" s="415"/>
      <c r="M45" s="827" t="str">
        <f>IF($E$6="DE","Zylinderkraft max.[N]","Cyl. Force max.[N]")</f>
        <v>Zylinderkraft max.[N]</v>
      </c>
      <c r="N45" s="828"/>
      <c r="O45" s="416" t="e">
        <f>IF(G8="J",(H45/L46)*2,H45/L46)</f>
        <v>#DIV/0!</v>
      </c>
      <c r="P45" s="827" t="str">
        <f>IF($E$6="DE","Zylinderdruck max. [bar]","Cyl. Pressure max. [bar]")</f>
        <v>Zylinderdruck max. [bar]</v>
      </c>
      <c r="Q45" s="828"/>
      <c r="R45" s="980" t="e">
        <f>10*O45/(H46*E46)</f>
        <v>#DIV/0!</v>
      </c>
      <c r="S45" s="981"/>
      <c r="T45" s="1009" t="str">
        <f>IF(G6="RZ",BH49,IF(G6="SPZ",BH46,IF(G6="-","Zangentyp/Guntype?")))</f>
        <v>max. Zangenkraft lt.Zeichnung überschritten!</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Zylinderwirkungsgrad                           (nur für SPZ)</v>
      </c>
      <c r="D46" s="828"/>
      <c r="E46" s="416">
        <v>0.95</v>
      </c>
      <c r="F46" s="827" t="str">
        <f>IF($E$6="DE","Zylinderfläche [mm²] (nur für SPZ)","Cylinder Surface [mm²] (only for SPZ)")</f>
        <v>Zylinderfläche [mm²] (nur für SPZ)</v>
      </c>
      <c r="G46" s="828"/>
      <c r="H46" s="420">
        <f>IF(E45="T",2*PI()/4*POWER(E44,2),PI()/4*POWER(E44,2))</f>
        <v>0</v>
      </c>
      <c r="I46" s="974" t="str">
        <f>IF($E$6="DE","Ausladung/ Abstand","Leverage Ratio")</f>
        <v>Ausladung/ Abstand</v>
      </c>
      <c r="J46" s="975"/>
      <c r="K46" s="976"/>
      <c r="L46" s="421" t="e">
        <f>IF(G19="X",L45/L44,1)</f>
        <v>#DIV/0!</v>
      </c>
      <c r="M46" s="829" t="str">
        <f>IF($E$6="DE","notwendige Motorkraft min. [N]","requiered Motor Force min. [N]")</f>
        <v>notwendige Motorkraft min. [N]</v>
      </c>
      <c r="N46" s="830"/>
      <c r="O46" s="422" t="e">
        <f>IF(G8="J",(H44/L46)*2,H44/L46)</f>
        <v>#DIV/0!</v>
      </c>
      <c r="P46" s="829" t="str">
        <f>IF($E$6="DE","erreichbare Motorkraft min. [N]","feasible Motor Force min. [N]")</f>
        <v>erreichbare Motorkraft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8</v>
      </c>
      <c r="AB46" s="424">
        <f>VLOOKUP(X46,AH19:AL43,3,FALSE)</f>
        <v>50</v>
      </c>
      <c r="AC46" s="425">
        <f>IF(AND(X46="39D 1978-2",MAX(AK19:AK43)=8),8,(VLOOKUP(X46,AH19:AL43,4,FALSE)))</f>
        <v>8</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2"/>
      <c r="BJ46" s="279" t="s">
        <v>1708</v>
      </c>
    </row>
    <row r="47" spans="1:90" ht="42.75" customHeight="1" thickBot="1">
      <c r="A47" s="922"/>
      <c r="B47" s="281"/>
      <c r="C47" s="816" t="str">
        <f>IF($E$6="DE","Roboterhersteller                                          (nur für RZ)","Robot Supplier                                  (only for RZ)")</f>
        <v>Roboterhersteller                                          (nur für RZ)</v>
      </c>
      <c r="D47" s="817"/>
      <c r="E47" s="427"/>
      <c r="F47" s="816" t="str">
        <f>IF($E$6="DE","Zangengrundkörper               (nur für RZ)","Weld Gun Basic Body (only for RZ)")</f>
        <v>Zangengrundkörper               (nur für RZ)</v>
      </c>
      <c r="G47" s="817"/>
      <c r="H47" s="427"/>
      <c r="I47" s="977" t="str">
        <f>IF($E$6="DE","Motorhersteller                           (nur für RZ)","Motor Supplier                        (only for RZ)")</f>
        <v>Motorhersteller                           (nur für RZ)</v>
      </c>
      <c r="J47" s="978"/>
      <c r="K47" s="979"/>
      <c r="L47" s="427"/>
      <c r="M47" s="831" t="str">
        <f>IF($E$6="DE","notwendige Motorkraft max. [N]","requiered Motor Force max. [N]")</f>
        <v>notwendige Motorkraft max. [N]</v>
      </c>
      <c r="N47" s="832"/>
      <c r="O47" s="428" t="e">
        <f>IF(G8="J",(H45/L46)*2,H45/L46)</f>
        <v>#DIV/0!</v>
      </c>
      <c r="P47" s="831" t="str">
        <f>IF($E$6="DE","erreichbare Motorkraft max. [N]"," feasible  Motor Force max. [N]")</f>
        <v>erreichbare Motorkraft max. [N]</v>
      </c>
      <c r="Q47" s="832"/>
      <c r="R47" s="993" t="str">
        <f>IF(ISNA(VLOOKUP(CONCATENATE(E47,H47,L47),Motordaten!D3:H45,4,FALSE)),"",VLOOKUP(CONCATENATE(E47,H47,L47),Motordaten!D3:H45,4,FALSE))</f>
        <v/>
      </c>
      <c r="S47" s="994"/>
      <c r="T47" s="998" t="str">
        <f>IF($E$6="DE","Max.Elektrodenkraft lt.Zeichnung[N]","Max.Electrode-Force acc.to Drw.[N]")</f>
        <v>Max.Elektrodenkraft lt.Zeichnung[N]</v>
      </c>
      <c r="U47" s="999"/>
      <c r="V47" s="1000"/>
      <c r="W47" s="429">
        <v>5000</v>
      </c>
      <c r="X47" s="892" t="str">
        <f>IF($E$6="DE","Motorbezeichnung:","Designation of Motor")</f>
        <v>Motorbezeichnung:</v>
      </c>
      <c r="Y47" s="893"/>
      <c r="Z47" s="894"/>
      <c r="AA47" s="892" t="str">
        <f>_xlfn.IFNA(VLOOKUP(CONCATENATE(E47,H47,L47),Motordaten!D3:H45,2,FALSE),IF(E6="DE","Kein Motortyp gefunden","no motortype found"))</f>
        <v>Kein Motortyp gefunden</v>
      </c>
      <c r="AB47" s="893"/>
      <c r="AC47" s="893"/>
      <c r="AD47" s="894"/>
      <c r="AE47" s="741" t="str">
        <f>IF(E6="DE", "Name:                         (Abteilung)","Name                        (Dept.)")</f>
        <v>Name:                         (Abteilung)</v>
      </c>
      <c r="AF47" s="742"/>
      <c r="AG47" s="883"/>
      <c r="AH47" s="884"/>
      <c r="AI47" s="885"/>
      <c r="AJ47" s="879" t="str">
        <f>IF(E6="DE", "Datum","Date")</f>
        <v>Datum</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1380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ST1380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e">
        <f>IF(O46&lt;R46,IF(E6="DE","Rücksprache Prozessmethodik","consult Process Methodology")," ")</f>
        <v>#DIV/0!</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62" priority="428" stopIfTrue="1" operator="equal">
      <formula>"Ergebnis des Druckbereichs i.O."</formula>
    </cfRule>
    <cfRule type="cellIs" dxfId="161" priority="429" stopIfTrue="1" operator="equal">
      <formula>"Ergebnis des Druckbereichs nicht i.O."</formula>
    </cfRule>
  </conditionalFormatting>
  <conditionalFormatting sqref="BH47">
    <cfRule type="cellIs" dxfId="160" priority="426" stopIfTrue="1" operator="equal">
      <formula>" "</formula>
    </cfRule>
    <cfRule type="cellIs" dxfId="159" priority="427" stopIfTrue="1" operator="equal">
      <formula>"Rücksprache Prozessmethodik"</formula>
    </cfRule>
  </conditionalFormatting>
  <conditionalFormatting sqref="X46">
    <cfRule type="cellIs" dxfId="158" priority="420" stopIfTrue="1" operator="notEqual">
      <formula>"39D 1978-2"</formula>
    </cfRule>
    <cfRule type="containsText" dxfId="157" priority="421" stopIfTrue="1" operator="containsText" text="39D 1978-2">
      <formula>NOT(ISERROR(SEARCH("39D 1978-2",X46)))</formula>
    </cfRule>
    <cfRule type="expression" priority="422" stopIfTrue="1">
      <formula>1</formula>
    </cfRule>
  </conditionalFormatting>
  <conditionalFormatting sqref="AA46">
    <cfRule type="cellIs" dxfId="156" priority="419" stopIfTrue="1" operator="notEqual">
      <formula>6</formula>
    </cfRule>
  </conditionalFormatting>
  <conditionalFormatting sqref="AB46">
    <cfRule type="cellIs" dxfId="155" priority="418" stopIfTrue="1" operator="notEqual">
      <formula>50</formula>
    </cfRule>
  </conditionalFormatting>
  <conditionalFormatting sqref="AC46">
    <cfRule type="cellIs" dxfId="154" priority="417" stopIfTrue="1" operator="notEqual">
      <formula>6</formula>
    </cfRule>
  </conditionalFormatting>
  <conditionalFormatting sqref="AD46">
    <cfRule type="cellIs" dxfId="153" priority="414" stopIfTrue="1" operator="notEqual">
      <formula>50</formula>
    </cfRule>
  </conditionalFormatting>
  <conditionalFormatting sqref="CB19:CB43">
    <cfRule type="cellIs" dxfId="152" priority="439" stopIfTrue="1" operator="equal">
      <formula>$AC$19</formula>
    </cfRule>
  </conditionalFormatting>
  <conditionalFormatting sqref="G19:G43">
    <cfRule type="expression" dxfId="151" priority="413" stopIfTrue="1">
      <formula>OR(AND(ISNUMBER($P19),ISBLANK($G19)),AND(ISTEXT($G19),ISBLANK($P19)))</formula>
    </cfRule>
  </conditionalFormatting>
  <conditionalFormatting sqref="BH46">
    <cfRule type="cellIs" dxfId="150" priority="397" operator="equal">
      <formula>"pressure level not allowed"</formula>
    </cfRule>
    <cfRule type="cellIs" dxfId="149" priority="398" operator="equal">
      <formula>"presure level allowed"</formula>
    </cfRule>
    <cfRule type="cellIs" dxfId="148" priority="399" operator="equal">
      <formula>"Max. Force of gun acc.Drw.exceeded!"</formula>
    </cfRule>
    <cfRule type="cellIs" dxfId="147" priority="409" stopIfTrue="1" operator="equal">
      <formula>"Zangenkraft lt.Zangenzeichnung überschritten!"</formula>
    </cfRule>
  </conditionalFormatting>
  <conditionalFormatting sqref="AE19:AE43">
    <cfRule type="expression" dxfId="146" priority="405">
      <formula>ISERROR(AE19)</formula>
    </cfRule>
  </conditionalFormatting>
  <conditionalFormatting sqref="BH47">
    <cfRule type="cellIs" dxfId="145" priority="396" operator="equal">
      <formula>"consult process methodology"</formula>
    </cfRule>
  </conditionalFormatting>
  <conditionalFormatting sqref="W47">
    <cfRule type="expression" dxfId="144" priority="440" stopIfTrue="1">
      <formula>ISBLANK($W$47)</formula>
    </cfRule>
  </conditionalFormatting>
  <conditionalFormatting sqref="G6">
    <cfRule type="cellIs" dxfId="143" priority="395" operator="equal">
      <formula>"-"</formula>
    </cfRule>
  </conditionalFormatting>
  <conditionalFormatting sqref="H44">
    <cfRule type="cellIs" dxfId="142" priority="394" operator="equal">
      <formula>"Zangentyp?"</formula>
    </cfRule>
  </conditionalFormatting>
  <conditionalFormatting sqref="BH49">
    <cfRule type="cellIs" dxfId="141" priority="392" stopIfTrue="1" operator="equal">
      <formula>"Zangen/Motorauslegung i.O."</formula>
    </cfRule>
    <cfRule type="cellIs" dxfId="140" priority="393" stopIfTrue="1" operator="equal">
      <formula>"Zangen/Motorauslegung nicht i.O."</formula>
    </cfRule>
  </conditionalFormatting>
  <conditionalFormatting sqref="BH49 BJ49:BK49">
    <cfRule type="cellIs" dxfId="139" priority="386" operator="equal">
      <formula>"Gun/Electromotor Design not O.K."</formula>
    </cfRule>
    <cfRule type="cellIs" dxfId="138" priority="387" operator="equal">
      <formula>"Gun/Electromotor Design O.K."</formula>
    </cfRule>
    <cfRule type="cellIs" dxfId="137" priority="388" operator="equal">
      <formula>"incorrect Gun Type/Gun Body/Gun Measure"</formula>
    </cfRule>
    <cfRule type="cellIs" dxfId="136" priority="389" operator="equal">
      <formula>"Max. Force of Gun acc.Drw.exceeded!"</formula>
    </cfRule>
    <cfRule type="cellIs" dxfId="135" priority="390" operator="equal">
      <formula>"max. Zangenkraft lt.Zeichnung überschritten!"</formula>
    </cfRule>
    <cfRule type="cellIs" dxfId="134" priority="391" stopIfTrue="1" operator="equal">
      <formula>"Zangentyp/-grundkörper/-maße falsch"</formula>
    </cfRule>
  </conditionalFormatting>
  <conditionalFormatting sqref="BH50">
    <cfRule type="cellIs" dxfId="133" priority="384" stopIfTrue="1" operator="equal">
      <formula>" "</formula>
    </cfRule>
    <cfRule type="cellIs" dxfId="132" priority="385" stopIfTrue="1" operator="equal">
      <formula>"Rücksprache Prozessmethodik"</formula>
    </cfRule>
  </conditionalFormatting>
  <conditionalFormatting sqref="T46">
    <cfRule type="cellIs" dxfId="131" priority="374" stopIfTrue="1" operator="equal">
      <formula>" "</formula>
    </cfRule>
    <cfRule type="cellIs" dxfId="130" priority="375" stopIfTrue="1" operator="equal">
      <formula>"Rücksprache Prozessmethodik"</formula>
    </cfRule>
  </conditionalFormatting>
  <conditionalFormatting sqref="T46">
    <cfRule type="cellIs" dxfId="129" priority="373" operator="equal">
      <formula>"consult process methodology"</formula>
    </cfRule>
  </conditionalFormatting>
  <conditionalFormatting sqref="T45">
    <cfRule type="cellIs" dxfId="128" priority="371" stopIfTrue="1" operator="equal">
      <formula>"Zangen/Motorauslegung i.O."</formula>
    </cfRule>
    <cfRule type="cellIs" dxfId="127" priority="372" stopIfTrue="1" operator="equal">
      <formula>"Zangen/Motorauslegung nicht i.O."</formula>
    </cfRule>
  </conditionalFormatting>
  <conditionalFormatting sqref="T45:W45">
    <cfRule type="cellIs" dxfId="126" priority="331" operator="equal">
      <formula>"Zangentyp/Guntype?"</formula>
    </cfRule>
    <cfRule type="cellIs" dxfId="125" priority="361" operator="equal">
      <formula>"Pressure level not allowed"</formula>
    </cfRule>
    <cfRule type="cellIs" dxfId="124" priority="362" operator="equal">
      <formula>"Presure level allowed"</formula>
    </cfRule>
    <cfRule type="cellIs" dxfId="123" priority="363" operator="equal">
      <formula>"Ergebnis des Druckbereichs nicht i.O."</formula>
    </cfRule>
    <cfRule type="cellIs" dxfId="122" priority="364" operator="equal">
      <formula>"Ergebnis des Druckbereichs i.O."</formula>
    </cfRule>
    <cfRule type="cellIs" dxfId="121" priority="365" operator="equal">
      <formula>"Gun/Electromotor Design not O.K."</formula>
    </cfRule>
    <cfRule type="cellIs" dxfId="120" priority="366" operator="equal">
      <formula>"Gun/Electromotor Design O.K."</formula>
    </cfRule>
    <cfRule type="cellIs" dxfId="119" priority="367" operator="equal">
      <formula>"incorrect Gun Type/Gun Body/Gun Measure"</formula>
    </cfRule>
    <cfRule type="cellIs" dxfId="118" priority="368" operator="equal">
      <formula>"Max. Force of Gun acc.Drw.exceeded!"</formula>
    </cfRule>
    <cfRule type="cellIs" dxfId="117" priority="369" operator="equal">
      <formula>"max. Zangenkraft lt.Zeichnung überschritten!"</formula>
    </cfRule>
    <cfRule type="cellIs" dxfId="116" priority="370" stopIfTrue="1" operator="equal">
      <formula>"Zangentyp/-grundkörper/-maße falsch"</formula>
    </cfRule>
  </conditionalFormatting>
  <conditionalFormatting sqref="E47">
    <cfRule type="expression" dxfId="115" priority="360">
      <formula>$G$6="SPZ"</formula>
    </cfRule>
  </conditionalFormatting>
  <conditionalFormatting sqref="E44">
    <cfRule type="expression" dxfId="114" priority="353">
      <formula>$G$6="RZ"</formula>
    </cfRule>
  </conditionalFormatting>
  <conditionalFormatting sqref="E46">
    <cfRule type="expression" dxfId="113" priority="214">
      <formula>$G$6="RZ"</formula>
    </cfRule>
  </conditionalFormatting>
  <conditionalFormatting sqref="L44">
    <cfRule type="expression" dxfId="112" priority="300">
      <formula>ISERR($L$46)</formula>
    </cfRule>
  </conditionalFormatting>
  <conditionalFormatting sqref="L45">
    <cfRule type="expression" dxfId="111" priority="299">
      <formula>ISERR($L$46)</formula>
    </cfRule>
  </conditionalFormatting>
  <conditionalFormatting sqref="Y19">
    <cfRule type="expression" dxfId="110" priority="281">
      <formula>ISERR(AE19)</formula>
    </cfRule>
  </conditionalFormatting>
  <conditionalFormatting sqref="Y20:Y43">
    <cfRule type="expression" dxfId="109" priority="280">
      <formula>ISERR(AE20)</formula>
    </cfRule>
  </conditionalFormatting>
  <conditionalFormatting sqref="S41:S43">
    <cfRule type="expression" dxfId="108" priority="271">
      <formula>$U41="t2?"</formula>
    </cfRule>
  </conditionalFormatting>
  <conditionalFormatting sqref="AN45:AN46">
    <cfRule type="cellIs" dxfId="107" priority="237" operator="equal">
      <formula>"Ja"</formula>
    </cfRule>
  </conditionalFormatting>
  <conditionalFormatting sqref="AE45:AE46">
    <cfRule type="expression" dxfId="106" priority="444">
      <formula>AN45="Ja"</formula>
    </cfRule>
  </conditionalFormatting>
  <conditionalFormatting sqref="AE47">
    <cfRule type="expression" dxfId="105" priority="445">
      <formula>AND(AN45="Ja",ISBLANK($AG$47))</formula>
    </cfRule>
  </conditionalFormatting>
  <conditionalFormatting sqref="AJ47">
    <cfRule type="expression" dxfId="104" priority="446">
      <formula>AND(AN45="Ja",ISBLANK($AL$47))</formula>
    </cfRule>
  </conditionalFormatting>
  <conditionalFormatting sqref="AG47">
    <cfRule type="expression" dxfId="103" priority="236">
      <formula>AND(AN45="Ja",ISBLANK($AG$47))</formula>
    </cfRule>
  </conditionalFormatting>
  <conditionalFormatting sqref="AL47">
    <cfRule type="expression" dxfId="102" priority="235">
      <formula>AND(AN45="Ja",ISBLANK($AL$47))</formula>
    </cfRule>
  </conditionalFormatting>
  <conditionalFormatting sqref="G8">
    <cfRule type="expression" dxfId="101" priority="234">
      <formula>NOT(OR(G8="J",G8="N"))</formula>
    </cfRule>
  </conditionalFormatting>
  <conditionalFormatting sqref="S31:S39">
    <cfRule type="expression" dxfId="100" priority="228">
      <formula>$R31="t1?"</formula>
    </cfRule>
  </conditionalFormatting>
  <conditionalFormatting sqref="S40">
    <cfRule type="expression" dxfId="99" priority="227">
      <formula>$U40="t2?"</formula>
    </cfRule>
  </conditionalFormatting>
  <conditionalFormatting sqref="H47">
    <cfRule type="expression" dxfId="98" priority="222">
      <formula>$G$6="SPZ"</formula>
    </cfRule>
  </conditionalFormatting>
  <conditionalFormatting sqref="L47">
    <cfRule type="expression" dxfId="97" priority="221">
      <formula>$G$6="SPZ"</formula>
    </cfRule>
  </conditionalFormatting>
  <conditionalFormatting sqref="O46">
    <cfRule type="expression" dxfId="96" priority="220">
      <formula>$G$6="SPZ"</formula>
    </cfRule>
  </conditionalFormatting>
  <conditionalFormatting sqref="O47">
    <cfRule type="expression" dxfId="95" priority="219">
      <formula>$G$6="SPZ"</formula>
    </cfRule>
  </conditionalFormatting>
  <conditionalFormatting sqref="R46">
    <cfRule type="expression" dxfId="94" priority="218">
      <formula>$G$6="SPZ"</formula>
    </cfRule>
  </conditionalFormatting>
  <conditionalFormatting sqref="R47">
    <cfRule type="expression" dxfId="93" priority="217">
      <formula>$G$6="SPZ"</formula>
    </cfRule>
  </conditionalFormatting>
  <conditionalFormatting sqref="X47">
    <cfRule type="expression" dxfId="92" priority="216">
      <formula>$G$6="SPZ"</formula>
    </cfRule>
  </conditionalFormatting>
  <conditionalFormatting sqref="AA47">
    <cfRule type="expression" dxfId="91" priority="215">
      <formula>$G$6="SPZ"</formula>
    </cfRule>
  </conditionalFormatting>
  <conditionalFormatting sqref="H46">
    <cfRule type="expression" dxfId="90" priority="213">
      <formula>$G$6="RZ"</formula>
    </cfRule>
  </conditionalFormatting>
  <conditionalFormatting sqref="O44">
    <cfRule type="expression" dxfId="89" priority="212">
      <formula>$G$6="RZ"</formula>
    </cfRule>
  </conditionalFormatting>
  <conditionalFormatting sqref="O45">
    <cfRule type="expression" dxfId="88" priority="211">
      <formula>$G$6="RZ"</formula>
    </cfRule>
  </conditionalFormatting>
  <conditionalFormatting sqref="R44">
    <cfRule type="expression" dxfId="87" priority="210">
      <formula>$G$6="RZ"</formula>
    </cfRule>
  </conditionalFormatting>
  <conditionalFormatting sqref="R45">
    <cfRule type="expression" dxfId="86" priority="209">
      <formula>$G$6="RZ"</formula>
    </cfRule>
  </conditionalFormatting>
  <conditionalFormatting sqref="C44:D45">
    <cfRule type="expression" dxfId="85" priority="208">
      <formula>$G$6="RZ"</formula>
    </cfRule>
  </conditionalFormatting>
  <conditionalFormatting sqref="C46:D46">
    <cfRule type="expression" dxfId="84" priority="207">
      <formula>$G$6="RZ"</formula>
    </cfRule>
  </conditionalFormatting>
  <conditionalFormatting sqref="F46:G46">
    <cfRule type="expression" dxfId="83" priority="206">
      <formula>$G$6="RZ"</formula>
    </cfRule>
  </conditionalFormatting>
  <conditionalFormatting sqref="M45:N45">
    <cfRule type="expression" dxfId="82" priority="205">
      <formula>$G$6="RZ"</formula>
    </cfRule>
  </conditionalFormatting>
  <conditionalFormatting sqref="P45:Q45">
    <cfRule type="expression" dxfId="81" priority="204">
      <formula>$G$6="RZ"</formula>
    </cfRule>
  </conditionalFormatting>
  <conditionalFormatting sqref="M44:N44">
    <cfRule type="expression" dxfId="80" priority="203">
      <formula>$G$6="RZ"</formula>
    </cfRule>
  </conditionalFormatting>
  <conditionalFormatting sqref="P44:Q44">
    <cfRule type="expression" dxfId="79" priority="202">
      <formula>$G$6="RZ"</formula>
    </cfRule>
  </conditionalFormatting>
  <conditionalFormatting sqref="C47:D47">
    <cfRule type="expression" dxfId="78" priority="201">
      <formula>$G$6="SPZ"</formula>
    </cfRule>
  </conditionalFormatting>
  <conditionalFormatting sqref="F47:G47">
    <cfRule type="expression" dxfId="77" priority="200">
      <formula>$G$6="SPZ"</formula>
    </cfRule>
  </conditionalFormatting>
  <conditionalFormatting sqref="I47">
    <cfRule type="expression" dxfId="76" priority="199">
      <formula>$G$6="SPZ"</formula>
    </cfRule>
  </conditionalFormatting>
  <conditionalFormatting sqref="M46:N46">
    <cfRule type="expression" dxfId="75" priority="198">
      <formula>$G$6="SPZ"</formula>
    </cfRule>
  </conditionalFormatting>
  <conditionalFormatting sqref="M47:N47">
    <cfRule type="expression" dxfId="74" priority="197">
      <formula>$G$6="SPZ"</formula>
    </cfRule>
  </conditionalFormatting>
  <conditionalFormatting sqref="P47:Q47">
    <cfRule type="expression" dxfId="73" priority="196">
      <formula>$G$6="SPZ"</formula>
    </cfRule>
  </conditionalFormatting>
  <conditionalFormatting sqref="P46:Q46">
    <cfRule type="expression" dxfId="72" priority="195">
      <formula>$G$6="SPZ"</formula>
    </cfRule>
  </conditionalFormatting>
  <conditionalFormatting sqref="AF45:AM46">
    <cfRule type="expression" dxfId="71" priority="448">
      <formula>BG45="Ja"</formula>
    </cfRule>
  </conditionalFormatting>
  <conditionalFormatting sqref="AF47">
    <cfRule type="expression" dxfId="70" priority="450">
      <formula>AND(BG45="Ja",ISBLANK($AG$47))</formula>
    </cfRule>
  </conditionalFormatting>
  <conditionalFormatting sqref="AK47">
    <cfRule type="expression" dxfId="69" priority="452">
      <formula>AND(BG45="Ja",ISBLANK($AL$47))</formula>
    </cfRule>
  </conditionalFormatting>
  <conditionalFormatting sqref="AH47:AI47">
    <cfRule type="expression" dxfId="68" priority="454">
      <formula>AND(BG45="Ja",ISBLANK($AG$47))</formula>
    </cfRule>
  </conditionalFormatting>
  <conditionalFormatting sqref="AM47:AN47">
    <cfRule type="expression" dxfId="67" priority="459">
      <formula>AND(BG45="Ja",ISBLANK($AL$47))</formula>
    </cfRule>
  </conditionalFormatting>
  <conditionalFormatting sqref="W21">
    <cfRule type="expression" dxfId="66" priority="151">
      <formula>CELL("Schutz",W21)</formula>
    </cfRule>
  </conditionalFormatting>
  <conditionalFormatting sqref="V21">
    <cfRule type="expression" dxfId="65" priority="152">
      <formula>$R21="t1?"</formula>
    </cfRule>
  </conditionalFormatting>
  <conditionalFormatting sqref="V22 V31:V43 V26:V29">
    <cfRule type="expression" dxfId="64" priority="180">
      <formula>$R22="t1?"</formula>
    </cfRule>
  </conditionalFormatting>
  <conditionalFormatting sqref="P41:P43">
    <cfRule type="expression" dxfId="63" priority="175">
      <formula>$U41="t2?"</formula>
    </cfRule>
  </conditionalFormatting>
  <conditionalFormatting sqref="P31:P39">
    <cfRule type="expression" dxfId="62" priority="173">
      <formula>$R31="t1?"</formula>
    </cfRule>
  </conditionalFormatting>
  <conditionalFormatting sqref="P40">
    <cfRule type="expression" dxfId="61" priority="172">
      <formula>$U40="t2?"</formula>
    </cfRule>
  </conditionalFormatting>
  <conditionalFormatting sqref="AE44:AN44">
    <cfRule type="containsText" dxfId="60"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9" priority="143">
      <formula>$R19="t1?"</formula>
    </cfRule>
  </conditionalFormatting>
  <conditionalFormatting sqref="P20:P28">
    <cfRule type="expression" dxfId="58" priority="142">
      <formula>$R20="t1?"</formula>
    </cfRule>
  </conditionalFormatting>
  <conditionalFormatting sqref="P19:P28">
    <cfRule type="expression" dxfId="57" priority="139">
      <formula>CELL("Schutz",P19)</formula>
    </cfRule>
  </conditionalFormatting>
  <conditionalFormatting sqref="V19">
    <cfRule type="expression" dxfId="56" priority="132">
      <formula>$R19="t1?"</formula>
    </cfRule>
  </conditionalFormatting>
  <conditionalFormatting sqref="V19">
    <cfRule type="expression" dxfId="55" priority="131">
      <formula>CELL("Schutz",V19)</formula>
    </cfRule>
  </conditionalFormatting>
  <conditionalFormatting sqref="P29">
    <cfRule type="expression" dxfId="54" priority="129">
      <formula>$R29="t1?"</formula>
    </cfRule>
  </conditionalFormatting>
  <conditionalFormatting sqref="S29">
    <cfRule type="expression" dxfId="53" priority="128">
      <formula>$R29="t1?"</formula>
    </cfRule>
  </conditionalFormatting>
  <conditionalFormatting sqref="P30">
    <cfRule type="expression" dxfId="52" priority="127">
      <formula>$R30="t1?"</formula>
    </cfRule>
  </conditionalFormatting>
  <conditionalFormatting sqref="S30">
    <cfRule type="expression" dxfId="51" priority="126">
      <formula>$R30="t1?"</formula>
    </cfRule>
  </conditionalFormatting>
  <conditionalFormatting sqref="V30">
    <cfRule type="expression" dxfId="50" priority="125">
      <formula>$R30="t1?"</formula>
    </cfRule>
  </conditionalFormatting>
  <conditionalFormatting sqref="I19:I43">
    <cfRule type="aboveAverage" dxfId="49" priority="123" aboveAverage="0"/>
    <cfRule type="aboveAverage" dxfId="48" priority="124"/>
  </conditionalFormatting>
  <conditionalFormatting sqref="G20:G43">
    <cfRule type="expression" dxfId="47" priority="117">
      <formula>AND(BI10=TRUE,BH10=TRUE)</formula>
    </cfRule>
  </conditionalFormatting>
  <conditionalFormatting sqref="G19:G43">
    <cfRule type="expression" dxfId="46" priority="460">
      <formula>AND(G19="X",$BJ$9=TRUE,$BI$9=TRUE)</formula>
    </cfRule>
  </conditionalFormatting>
  <conditionalFormatting sqref="G20:G43">
    <cfRule type="expression" dxfId="45" priority="461">
      <formula>AND($BJ$9=TRUE,$BI$9=TRUE)</formula>
    </cfRule>
  </conditionalFormatting>
  <conditionalFormatting sqref="V25">
    <cfRule type="expression" dxfId="44" priority="104">
      <formula>$R25="t1?"</formula>
    </cfRule>
  </conditionalFormatting>
  <conditionalFormatting sqref="Q27">
    <cfRule type="expression" dxfId="43" priority="95">
      <formula>CELL("Schutz",Q27)</formula>
    </cfRule>
  </conditionalFormatting>
  <conditionalFormatting sqref="W25:W27">
    <cfRule type="expression" dxfId="42" priority="92">
      <formula>CELL("Schutz",W25)</formula>
    </cfRule>
  </conditionalFormatting>
  <conditionalFormatting sqref="T27">
    <cfRule type="expression" dxfId="41" priority="90">
      <formula>CELL("Schutz",T27)</formula>
    </cfRule>
  </conditionalFormatting>
  <conditionalFormatting sqref="Q22">
    <cfRule type="expression" dxfId="39" priority="79">
      <formula>CELL("Schutz",Q22)</formula>
    </cfRule>
  </conditionalFormatting>
  <conditionalFormatting sqref="T22">
    <cfRule type="expression" dxfId="37" priority="73">
      <formula>CELL("Schutz",T22)</formula>
    </cfRule>
  </conditionalFormatting>
  <conditionalFormatting sqref="T23">
    <cfRule type="expression" dxfId="36" priority="70">
      <formula>CELL("Schutz",T23)</formula>
    </cfRule>
  </conditionalFormatting>
  <conditionalFormatting sqref="S19:S28">
    <cfRule type="expression" dxfId="34" priority="64">
      <formula>$R19="t1?"</formula>
    </cfRule>
  </conditionalFormatting>
  <conditionalFormatting sqref="S19:S28">
    <cfRule type="expression" dxfId="33" priority="63">
      <formula>CELL("Schutz",S19)</formula>
    </cfRule>
  </conditionalFormatting>
  <conditionalFormatting sqref="T21">
    <cfRule type="expression" dxfId="32" priority="62">
      <formula>CELL("Schutz",T21)</formula>
    </cfRule>
  </conditionalFormatting>
  <conditionalFormatting sqref="T24">
    <cfRule type="expression" dxfId="31" priority="59">
      <formula>CELL("Schutz",T24)</formula>
    </cfRule>
  </conditionalFormatting>
  <conditionalFormatting sqref="T25">
    <cfRule type="expression" dxfId="29" priority="53">
      <formula>CELL("Schutz",T25)</formula>
    </cfRule>
  </conditionalFormatting>
  <conditionalFormatting sqref="Q26">
    <cfRule type="expression" dxfId="28" priority="50">
      <formula>CELL("Schutz",Q26)</formula>
    </cfRule>
  </conditionalFormatting>
  <conditionalFormatting sqref="T26">
    <cfRule type="expression" dxfId="27" priority="47">
      <formula>CELL("Schutz",T26)</formula>
    </cfRule>
  </conditionalFormatting>
  <conditionalFormatting sqref="V24">
    <cfRule type="expression" dxfId="26" priority="46">
      <formula>$R24="t1?"</formula>
    </cfRule>
  </conditionalFormatting>
  <conditionalFormatting sqref="V24">
    <cfRule type="expression" dxfId="25" priority="45">
      <formula>CELL("Schutz",V24)</formula>
    </cfRule>
  </conditionalFormatting>
  <conditionalFormatting sqref="W24">
    <cfRule type="expression" dxfId="24" priority="44">
      <formula>CELL("Schutz",W24)</formula>
    </cfRule>
  </conditionalFormatting>
  <conditionalFormatting sqref="W23">
    <cfRule type="expression" dxfId="23" priority="42">
      <formula>CELL("Schutz",W23)</formula>
    </cfRule>
  </conditionalFormatting>
  <conditionalFormatting sqref="V23">
    <cfRule type="expression" dxfId="22" priority="41">
      <formula>$R23="t1?"</formula>
    </cfRule>
  </conditionalFormatting>
  <conditionalFormatting sqref="V23">
    <cfRule type="expression" dxfId="21" priority="40">
      <formula>CELL("Schutz",V23)</formula>
    </cfRule>
  </conditionalFormatting>
  <conditionalFormatting sqref="V20">
    <cfRule type="expression" dxfId="20" priority="33">
      <formula>$R20="t1?"</formula>
    </cfRule>
  </conditionalFormatting>
  <conditionalFormatting sqref="Q19">
    <cfRule type="expression" dxfId="19" priority="29">
      <formula>CELL("Schutz",Q19)</formula>
    </cfRule>
  </conditionalFormatting>
  <conditionalFormatting sqref="W19">
    <cfRule type="expression" dxfId="18" priority="27">
      <formula>CELL("Schutz",W19)</formula>
    </cfRule>
  </conditionalFormatting>
  <conditionalFormatting sqref="Q20">
    <cfRule type="expression" dxfId="17" priority="26">
      <formula>CELL("Schutz",Q20)</formula>
    </cfRule>
  </conditionalFormatting>
  <conditionalFormatting sqref="T19">
    <cfRule type="expression" dxfId="16" priority="20">
      <formula>CELL("Schutz",T19)</formula>
    </cfRule>
  </conditionalFormatting>
  <conditionalFormatting sqref="AR8:AU8">
    <cfRule type="expression" dxfId="14" priority="13">
      <formula>OR(AND(ISBLANK($AR$8),COUNTBLANK($AH$8:$AN$8)&lt;7),AND(ISBLANK($AR$8),$BF$44&gt;0))</formula>
    </cfRule>
  </conditionalFormatting>
  <conditionalFormatting sqref="AY8:BB8">
    <cfRule type="expression" dxfId="13" priority="11">
      <formula>OR(AND(ISBLANK($AY$8),COUNTBLANK($AH$8:$AN$8)&lt;7),AND(ISBLANK($AY$8),$BF$44&gt;0))</formula>
    </cfRule>
  </conditionalFormatting>
  <conditionalFormatting sqref="AO8:AQ8">
    <cfRule type="expression" dxfId="12" priority="10">
      <formula>OR(COUNTBLANK($AH$8:$AN$8)&lt;7,$BF$44&gt;0)</formula>
    </cfRule>
  </conditionalFormatting>
  <conditionalFormatting sqref="AV8:AX8">
    <cfRule type="expression" dxfId="11" priority="9">
      <formula>OR(COUNTBLANK($AH$8:$AN$8)&lt;7,$BF$44&gt;0)</formula>
    </cfRule>
  </conditionalFormatting>
  <conditionalFormatting sqref="AK8">
    <cfRule type="expression" dxfId="10" priority="8">
      <formula>AND($BF$44&gt;0,ISBLANK(AK8))</formula>
    </cfRule>
  </conditionalFormatting>
  <conditionalFormatting sqref="AL8">
    <cfRule type="expression" dxfId="9" priority="7">
      <formula>AND($BF$44&gt;0,ISBLANK(AL8))</formula>
    </cfRule>
  </conditionalFormatting>
  <conditionalFormatting sqref="AM8">
    <cfRule type="expression" dxfId="8" priority="6">
      <formula>AND($BF$44&gt;0,ISBLANK(AM8))</formula>
    </cfRule>
  </conditionalFormatting>
  <conditionalFormatting sqref="AN8">
    <cfRule type="expression" dxfId="7" priority="5">
      <formula>AND($BF$44&gt;0,ISBLANK(AN8))</formula>
    </cfRule>
  </conditionalFormatting>
  <conditionalFormatting sqref="W20">
    <cfRule type="expression" dxfId="6" priority="4">
      <formula>CELL("Schutz",W20)</formula>
    </cfRule>
  </conditionalFormatting>
  <conditionalFormatting sqref="T20">
    <cfRule type="expression" dxfId="5" priority="3">
      <formula>CELL("Schutz",T20)</formula>
    </cfRule>
  </conditionalFormatting>
  <conditionalFormatting sqref="Q21">
    <cfRule type="expression" dxfId="3" priority="2">
      <formula>CELL("Schutz",Q21)</formula>
    </cfRule>
  </conditionalFormatting>
  <conditionalFormatting sqref="Q23:Q25">
    <cfRule type="expression" dxfId="1" priority="1">
      <formula>CELL("Schutz",Q23)</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6" t="s">
        <v>1693</v>
      </c>
      <c r="D28" s="23" t="str">
        <f>CONCATENATE(A28,$B$28,$C$28)</f>
        <v>ABBC5000Tolomatic</v>
      </c>
      <c r="E28" s="22" t="s">
        <v>1740</v>
      </c>
      <c r="F28" s="23">
        <v>1500</v>
      </c>
      <c r="G28" s="23">
        <v>7560</v>
      </c>
      <c r="H28" s="22" t="s">
        <v>1695</v>
      </c>
    </row>
    <row r="29" spans="1:8" ht="15">
      <c r="A29" s="25" t="s">
        <v>1155</v>
      </c>
      <c r="B29" s="1102"/>
      <c r="C29" s="1107"/>
      <c r="D29" s="26" t="str">
        <f t="shared" ref="D29:D30" si="4">CONCATENATE(A29,$B$28,$C$28)</f>
        <v>KUKAC5000Tolomatic</v>
      </c>
      <c r="E29" s="25" t="s">
        <v>1740</v>
      </c>
      <c r="F29" s="26">
        <v>1500</v>
      </c>
      <c r="G29" s="26">
        <v>7560</v>
      </c>
      <c r="H29" s="25" t="s">
        <v>1696</v>
      </c>
    </row>
    <row r="30" spans="1:8" ht="15.75" thickBot="1">
      <c r="A30" s="24" t="s">
        <v>1153</v>
      </c>
      <c r="B30" s="1103"/>
      <c r="C30" s="1107"/>
      <c r="D30" s="21" t="str">
        <f t="shared" si="4"/>
        <v>FanucC5000Tolomatic</v>
      </c>
      <c r="E30" s="20" t="s">
        <v>1740</v>
      </c>
      <c r="F30" s="21">
        <v>1500</v>
      </c>
      <c r="G30" s="21">
        <v>7560</v>
      </c>
      <c r="H30" s="20">
        <v>28330057</v>
      </c>
    </row>
    <row r="31" spans="1:8" ht="15">
      <c r="A31" s="22" t="s">
        <v>1146</v>
      </c>
      <c r="B31" s="1101" t="s">
        <v>1150</v>
      </c>
      <c r="C31" s="1107"/>
      <c r="D31" s="470" t="str">
        <f>CONCATENATE(A31,$B$31,$C$28)</f>
        <v>ABBC8000Tolomatic</v>
      </c>
      <c r="E31" s="488" t="s">
        <v>1741</v>
      </c>
      <c r="F31" s="23">
        <v>1500</v>
      </c>
      <c r="G31" s="23">
        <v>11100</v>
      </c>
      <c r="H31" s="22">
        <v>28330079</v>
      </c>
    </row>
    <row r="32" spans="1:8" ht="15">
      <c r="A32" s="25" t="s">
        <v>1155</v>
      </c>
      <c r="B32" s="1102"/>
      <c r="C32" s="1107"/>
      <c r="D32" s="26" t="str">
        <f t="shared" ref="D32:D33" si="5">CONCATENATE(A32,$B$31,$C$28)</f>
        <v>KUKAC8000Tolomatic</v>
      </c>
      <c r="E32" s="466" t="s">
        <v>1741</v>
      </c>
      <c r="F32" s="26">
        <v>1500</v>
      </c>
      <c r="G32" s="26">
        <v>11100</v>
      </c>
      <c r="H32" s="25" t="s">
        <v>1742</v>
      </c>
    </row>
    <row r="33" spans="1:8" ht="15.75" thickBot="1">
      <c r="A33" s="24" t="s">
        <v>1153</v>
      </c>
      <c r="B33" s="1103"/>
      <c r="C33" s="1107"/>
      <c r="D33" s="21" t="str">
        <f t="shared" si="5"/>
        <v>FanucC8000Tolomatic</v>
      </c>
      <c r="E33" s="487" t="s">
        <v>1741</v>
      </c>
      <c r="F33" s="275">
        <v>1500</v>
      </c>
      <c r="G33" s="275">
        <v>11100</v>
      </c>
      <c r="H33" s="24">
        <v>28330081</v>
      </c>
    </row>
    <row r="34" spans="1:8" ht="15">
      <c r="A34" s="22" t="s">
        <v>1146</v>
      </c>
      <c r="B34" s="1101" t="s">
        <v>1166</v>
      </c>
      <c r="C34" s="1107"/>
      <c r="D34" s="470" t="str">
        <f>CONCATENATE(A34,$B$34,$C$28)</f>
        <v>ABBC8000 TunnelTolomatic</v>
      </c>
      <c r="E34" s="22" t="s">
        <v>1741</v>
      </c>
      <c r="F34" s="23">
        <v>1500</v>
      </c>
      <c r="G34" s="23">
        <v>11100</v>
      </c>
      <c r="H34" s="22">
        <v>28330034</v>
      </c>
    </row>
    <row r="35" spans="1:8" ht="15">
      <c r="A35" s="25" t="s">
        <v>1155</v>
      </c>
      <c r="B35" s="1102"/>
      <c r="C35" s="1107"/>
      <c r="D35" s="26" t="str">
        <f t="shared" ref="D35:D36" si="6">CONCATENATE(A35,$B$34,$C$28)</f>
        <v>KUKAC8000 TunnelTolomatic</v>
      </c>
      <c r="E35" s="25" t="s">
        <v>1741</v>
      </c>
      <c r="F35" s="26">
        <v>1500</v>
      </c>
      <c r="G35" s="26">
        <v>11100</v>
      </c>
      <c r="H35" s="25">
        <v>28330051</v>
      </c>
    </row>
    <row r="36" spans="1:8" ht="15.75" thickBot="1">
      <c r="A36" s="24" t="s">
        <v>1153</v>
      </c>
      <c r="B36" s="1103"/>
      <c r="C36" s="1107"/>
      <c r="D36" s="21" t="str">
        <f t="shared" si="6"/>
        <v>FanucC8000 TunnelTolomatic</v>
      </c>
      <c r="E36" s="20" t="s">
        <v>1741</v>
      </c>
      <c r="F36" s="21">
        <v>1500</v>
      </c>
      <c r="G36" s="275">
        <v>11100</v>
      </c>
      <c r="H36" s="20">
        <v>28330085</v>
      </c>
    </row>
    <row r="37" spans="1:8" ht="15">
      <c r="A37" s="22" t="s">
        <v>1146</v>
      </c>
      <c r="B37" s="1101" t="s">
        <v>1162</v>
      </c>
      <c r="C37" s="1107"/>
      <c r="D37" s="470" t="str">
        <f>CONCATENATE(A37,$B$37,$C$28)</f>
        <v>ABBX100Tolomatic</v>
      </c>
      <c r="E37" s="22" t="s">
        <v>1743</v>
      </c>
      <c r="F37" s="23">
        <v>2000</v>
      </c>
      <c r="G37" s="23">
        <v>14680</v>
      </c>
      <c r="H37" s="22">
        <v>28440187</v>
      </c>
    </row>
    <row r="38" spans="1:8" ht="15">
      <c r="A38" s="25" t="s">
        <v>1155</v>
      </c>
      <c r="B38" s="1102"/>
      <c r="C38" s="1107"/>
      <c r="D38" s="26" t="str">
        <f t="shared" ref="D38:D39" si="7">CONCATENATE(A38,$B$37,$C$28)</f>
        <v>KUKAX100Tolomatic</v>
      </c>
      <c r="E38" s="25" t="s">
        <v>1743</v>
      </c>
      <c r="F38" s="26">
        <v>2000</v>
      </c>
      <c r="G38" s="26">
        <v>14680</v>
      </c>
      <c r="H38" s="25">
        <v>28440189</v>
      </c>
    </row>
    <row r="39" spans="1:8" ht="15.75" thickBot="1">
      <c r="A39" s="24" t="s">
        <v>1153</v>
      </c>
      <c r="B39" s="1103"/>
      <c r="C39" s="1107"/>
      <c r="D39" s="21" t="str">
        <f t="shared" si="7"/>
        <v>FanucX100Tolomatic</v>
      </c>
      <c r="E39" s="20" t="s">
        <v>1743</v>
      </c>
      <c r="F39" s="21">
        <v>2000</v>
      </c>
      <c r="G39" s="21">
        <v>14680</v>
      </c>
      <c r="H39" s="20">
        <v>28440188</v>
      </c>
    </row>
    <row r="40" spans="1:8" ht="15">
      <c r="A40" s="22" t="s">
        <v>1146</v>
      </c>
      <c r="B40" s="1101" t="s">
        <v>1739</v>
      </c>
      <c r="C40" s="1107"/>
      <c r="D40" s="470" t="str">
        <f>CONCATENATE(A40,$B$40,$C$28)</f>
        <v>ABBX125Tolomatic</v>
      </c>
      <c r="E40" s="22" t="s">
        <v>1744</v>
      </c>
      <c r="F40" s="23">
        <v>2500</v>
      </c>
      <c r="G40" s="23">
        <v>24000</v>
      </c>
      <c r="H40" s="23">
        <v>28440192</v>
      </c>
    </row>
    <row r="41" spans="1:8" ht="15">
      <c r="A41" s="466" t="s">
        <v>1155</v>
      </c>
      <c r="B41" s="1102"/>
      <c r="C41" s="1107"/>
      <c r="D41" s="26" t="str">
        <f t="shared" ref="D41:D42" si="8">CONCATENATE(A41,$B$40,$C$28)</f>
        <v>KUKAX125Tolomatic</v>
      </c>
      <c r="E41" s="25" t="s">
        <v>1744</v>
      </c>
      <c r="F41" s="26">
        <v>2500</v>
      </c>
      <c r="G41" s="26">
        <v>24000</v>
      </c>
      <c r="H41" s="26">
        <v>28440191</v>
      </c>
    </row>
    <row r="42" spans="1:8" ht="15.75" thickBot="1">
      <c r="A42" s="20" t="s">
        <v>1153</v>
      </c>
      <c r="B42" s="1103"/>
      <c r="C42" s="1107"/>
      <c r="D42" s="21" t="str">
        <f t="shared" si="8"/>
        <v>FanucX125Tolomatic</v>
      </c>
      <c r="E42" s="20" t="s">
        <v>1744</v>
      </c>
      <c r="F42" s="21">
        <v>2500</v>
      </c>
      <c r="G42" s="21">
        <v>24000</v>
      </c>
      <c r="H42" s="24">
        <v>28440190</v>
      </c>
    </row>
    <row r="43" spans="1:8" ht="15">
      <c r="A43" s="22" t="s">
        <v>1146</v>
      </c>
      <c r="B43" s="1101" t="s">
        <v>1748</v>
      </c>
      <c r="C43" s="1107"/>
      <c r="D43" s="470" t="str">
        <f>CONCATENATE(A43,$B$43,$C$28)</f>
        <v>ABBX125 (Doppelzange)Tolomatic</v>
      </c>
      <c r="E43" s="22" t="s">
        <v>1745</v>
      </c>
      <c r="F43" s="23">
        <v>2500</v>
      </c>
      <c r="G43" s="23">
        <v>24000</v>
      </c>
      <c r="H43" s="23">
        <v>28440213</v>
      </c>
    </row>
    <row r="44" spans="1:8" ht="15">
      <c r="A44" s="466" t="s">
        <v>1155</v>
      </c>
      <c r="B44" s="1102"/>
      <c r="C44" s="1107"/>
      <c r="D44" s="26" t="str">
        <f t="shared" ref="D44:D45" si="9">CONCATENATE(A44,$B$43,$C$28)</f>
        <v>KUKAX125 (Doppelzange)Tolomatic</v>
      </c>
      <c r="E44" s="25" t="s">
        <v>1745</v>
      </c>
      <c r="F44" s="26">
        <v>2500</v>
      </c>
      <c r="G44" s="26">
        <v>24000</v>
      </c>
      <c r="H44" s="26">
        <v>28440212</v>
      </c>
    </row>
    <row r="45" spans="1:8" ht="15.75" thickBot="1">
      <c r="A45" s="20" t="s">
        <v>1153</v>
      </c>
      <c r="B45" s="1103"/>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Blatt_1_1380R01</vt:lpstr>
      <vt:lpstr>Punktplan LTVR_3_1380R01</vt:lpstr>
      <vt:lpstr>Materialliste</vt:lpstr>
      <vt:lpstr>Motordaten</vt:lpstr>
      <vt:lpstr>Hinweise (Notes)</vt:lpstr>
      <vt:lpstr>Änderungshistorie</vt:lpstr>
      <vt:lpstr>'Blatt 0'!Area_de_impressao</vt:lpstr>
      <vt:lpstr>Blatt_1_1380R01!Area_de_impressao</vt:lpstr>
      <vt:lpstr>'Punktplan LTVR_3_1380R01'!Area_de_impressao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2023-06-16T11:41:08Z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