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bookViews>
    <workbookView xWindow="0" yWindow="0" windowWidth="28800" windowHeight="12435" tabRatio="798" activeTab="2"/>
  </bookViews>
  <sheets>
    <sheet name="Blatt 0" sheetId="1" r:id="rId1"/>
    <sheet name="Blatt_1_1520R01" sheetId="38" r:id="rId2"/>
    <sheet name="Punktplan LTVR_4_152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LTVR_4_1520R01'!$M$19:$M$32</definedName>
    <definedName name="_xlnm.Print_Area" localSheetId="0">'Blatt 0'!$A$1:$AK$60</definedName>
    <definedName name="_xlnm.Print_Area" localSheetId="1">Blatt_1_1520R01!$A$1:$AK$60</definedName>
    <definedName name="_xlnm.Print_Area" localSheetId="2">'Punktplan LTVR_4_1520R01'!$A$1:$BB$58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<sst xmlns="http://schemas.openxmlformats.org/spreadsheetml/2006/main" count="2126" uniqueCount="1940">
  <si>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</si>
  <si>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</si>
  <si>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</si>
  <si>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</si>
  <si>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</si>
  <si>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</si>
  <si>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</si>
  <si>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</si>
  <si>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</si>
  <si>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</si>
  <si>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</si>
  <si>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</si>
  <si>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</si>
  <si>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</si>
  <si>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</si>
  <si>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</si>
  <si>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</si>
  <si>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</si>
  <si>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</si>
  <si>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</si>
  <si>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</si>
  <si>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</si>
  <si>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</si>
  <si>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</si>
  <si>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</si>
  <si>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</si>
  <si>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</si>
  <si>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</si>
  <si>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</si>
  <si>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</si>
  <si>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</si>
  <si>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</si>
  <si>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</si>
  <si>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</si>
  <si>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</si>
  <si>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</si>
  <si>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</si>
  <si>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</si>
  <si>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</si>
  <si>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</si>
  <si>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</si>
  <si>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</si>
  <si>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</si>
  <si>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</si>
  <si>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</si>
  <si>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</si>
  <si>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</si>
  <si>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</si>
  <si>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</si>
  <si>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</si>
  <si>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</si>
  <si>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</si>
  <si>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</si>
  <si>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</si>
  <si>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</si>
  <si>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</si>
  <si>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</si>
  <si>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</si>
  <si>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</si>
  <si>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</si>
  <si>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</si>
  <si>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</si>
  <si>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</si>
  <si>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</si>
  <si>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</si>
  <si>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</si>
  <si>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</si>
  <si>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</si>
  <si>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</si>
  <si>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</si>
  <si>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</si>
  <si>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</si>
  <si>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</si>
  <si>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</si>
  <si>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</si>
  <si>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</si>
  <si>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</si>
  <si>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</si>
  <si>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</si>
  <si>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</si>
  <si>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</si>
  <si>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</si>
  <si>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</si>
  <si>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</si>
  <si>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</si>
  <si>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</si>
  <si>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</si>
  <si>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</si>
  <si>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</si>
  <si>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</si>
  <si>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</si>
  <si>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</si>
  <si>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</si>
  <si>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</si>
  <si>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</si>
  <si>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</si>
  <si>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</si>
  <si>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</si>
  <si>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</si>
  <si>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</si>
  <si>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</si>
  <si>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</si>
  <si>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</si>
  <si>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</si>
  <si>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</si>
  <si>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</si>
  <si>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</si>
  <si>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</si>
  <si>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</si>
  <si>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</si>
  <si>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</si>
  <si>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</si>
  <si>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</si>
  <si>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</si>
  <si>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</si>
  <si>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</si>
  <si>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</si>
  <si>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</si>
  <si>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</si>
  <si>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</si>
  <si>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</si>
  <si>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</si>
  <si>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</si>
  <si>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</si>
  <si>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</si>
  <si>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</si>
  <si>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</si>
  <si>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</si>
  <si>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</si>
  <si>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</si>
  <si>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</si>
  <si>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</si>
  <si>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</si>
  <si>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</si>
  <si>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</si>
  <si>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</si>
  <si>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</si>
  <si>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</si>
  <si>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</si>
  <si>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</si>
  <si>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</si>
  <si>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</si>
  <si>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</si>
  <si>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</si>
  <si>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</si>
  <si>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</si>
  <si>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</si>
  <si>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</si>
  <si>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</si>
  <si>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</si>
  <si>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</si>
  <si>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</si>
  <si>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</si>
  <si>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</si>
  <si>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</si>
  <si>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</si>
  <si>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</si>
  <si>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</si>
  <si>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</si>
  <si>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</si>
  <si>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</si>
  <si>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</si>
  <si>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</si>
  <si>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</si>
  <si>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</si>
  <si>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</si>
  <si>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</si>
  <si>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</si>
  <si>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</si>
  <si>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</si>
  <si>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</si>
  <si>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</si>
  <si>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</si>
  <si>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</si>
  <si>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</si>
  <si>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</si>
  <si>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</si>
  <si>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</si>
  <si>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</si>
  <si>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</si>
  <si>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</si>
  <si>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</si>
  <si>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</si>
  <si>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</si>
  <si>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</si>
  <si>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</si>
  <si>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</si>
  <si>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</si>
  <si>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</si>
  <si>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</si>
  <si>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</si>
  <si>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</si>
  <si>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</si>
  <si>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</si>
  <si>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</si>
  <si>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</si>
  <si>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</si>
  <si>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</si>
  <si>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</si>
  <si>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</si>
  <si>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</si>
  <si>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</si>
  <si>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</si>
  <si>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</si>
  <si>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</si>
  <si>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</si>
  <si>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</si>
  <si>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</si>
  <si>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</si>
  <si>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</si>
  <si>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</si>
  <si>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</si>
  <si>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</si>
  <si>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</si>
  <si>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</si>
  <si>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</si>
  <si>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</si>
  <si>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</si>
  <si>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</si>
  <si>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</si>
  <si>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</si>
  <si>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</si>
  <si>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</si>
  <si>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</si>
  <si>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</si>
  <si>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</si>
  <si>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</si>
  <si>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</si>
  <si>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</si>
  <si>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</si>
  <si>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</si>
  <si>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</si>
  <si>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</si>
  <si>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</si>
  <si>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</si>
  <si>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</si>
  <si>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</si>
  <si>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</si>
  <si>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</si>
  <si>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</si>
  <si>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</si>
  <si>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</si>
  <si>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</si>
  <si>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</si>
  <si>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</si>
  <si>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</si>
  <si>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</si>
  <si>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</si>
  <si>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</si>
  <si>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</si>
  <si>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</si>
  <si>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</si>
  <si>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</si>
  <si>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</si>
  <si>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</si>
  <si>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</si>
  <si>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</si>
  <si>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</si>
  <si>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</si>
  <si>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</si>
  <si>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</si>
  <si>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</si>
  <si>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</si>
  <si>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</si>
  <si>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</si>
  <si>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</si>
  <si>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</si>
  <si>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</si>
  <si>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</si>
  <si>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</si>
  <si>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</si>
  <si>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</si>
  <si>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</si>
  <si>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</si>
  <si>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</si>
  <si>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</si>
  <si>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</si>
  <si>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</si>
  <si>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</si>
  <si>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</si>
  <si>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</si>
  <si>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</si>
  <si>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</si>
  <si>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</si>
  <si>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</si>
  <si>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</si>
  <si>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</si>
  <si>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</si>
  <si>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</si>
  <si>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</si>
  <si>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</si>
  <si>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</si>
  <si>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</si>
  <si>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</si>
  <si>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</si>
  <si>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</si>
  <si>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</si>
  <si>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</si>
  <si>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</si>
  <si>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</si>
  <si>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</si>
  <si>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</si>
  <si>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</si>
  <si>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</si>
  <si>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</si>
  <si>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</si>
  <si>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</si>
  <si>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</si>
  <si>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</si>
  <si>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</si>
  <si>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</si>
  <si>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</si>
  <si>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</si>
  <si>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</si>
  <si>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</si>
  <si>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</si>
  <si>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</si>
  <si>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</si>
  <si>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</si>
  <si>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</si>
  <si>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</si>
  <si>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</si>
  <si>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</si>
  <si>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</si>
  <si>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</si>
  <si>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</si>
  <si>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</si>
  <si>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</si>
  <si>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</si>
  <si>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</si>
  <si>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</si>
  <si>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</si>
  <si>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</si>
  <si>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</si>
  <si>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</si>
  <si>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</si>
  <si>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</si>
  <si>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</si>
  <si>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</si>
  <si>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</si>
  <si>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</si>
  <si>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</si>
  <si>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</si>
  <si>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</si>
  <si>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</si>
  <si>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</si>
  <si>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</si>
  <si>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</si>
  <si>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</si>
  <si>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</si>
  <si>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</si>
  <si>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</si>
  <si>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</si>
  <si>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</si>
  <si>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</si>
  <si>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</si>
  <si>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</si>
  <si>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</si>
  <si>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</si>
  <si>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</si>
  <si>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</si>
  <si>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</si>
  <si>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</si>
  <si>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</si>
  <si>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</si>
  <si>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</si>
  <si>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</si>
  <si>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</si>
  <si>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</si>
  <si>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</si>
  <si>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</si>
  <si>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</si>
  <si>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</si>
  <si>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</si>
  <si>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</si>
  <si>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</si>
  <si>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</si>
  <si>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</si>
  <si>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</si>
  <si>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</si>
  <si>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</si>
  <si>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</si>
  <si>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</si>
  <si>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</si>
  <si>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</si>
  <si>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</si>
  <si>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</si>
  <si>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</si>
  <si>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</si>
  <si>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</si>
  <si>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</si>
  <si>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</si>
  <si>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</si>
  <si>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</si>
  <si>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</si>
  <si>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</si>
  <si>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</si>
  <si>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</si>
  <si>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</si>
  <si>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</si>
  <si>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</si>
  <si>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</si>
  <si>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</si>
  <si>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</si>
  <si>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</si>
  <si>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</si>
  <si>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</si>
  <si>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</si>
  <si>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</si>
  <si>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</si>
  <si>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</si>
  <si>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</si>
  <si>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</si>
  <si>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</si>
  <si>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</si>
  <si>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</si>
  <si>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</si>
  <si>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</si>
  <si>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</si>
  <si>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</si>
  <si>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</si>
  <si>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</si>
  <si>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</si>
  <si>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</si>
  <si>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</si>
  <si>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</si>
  <si>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</si>
  <si>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</si>
  <si>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</si>
  <si>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</si>
  <si>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</si>
  <si>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</si>
  <si>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</si>
  <si>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</si>
  <si>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</si>
  <si>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</si>
  <si>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</si>
  <si>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</si>
  <si>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</si>
  <si>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</si>
  <si>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</si>
  <si>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</si>
  <si>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</si>
  <si>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</si>
  <si>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</si>
  <si>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</si>
  <si>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</si>
  <si>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</si>
  <si>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</si>
  <si>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</si>
  <si>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</si>
  <si>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</si>
  <si>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</si>
  <si>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</si>
  <si>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</si>
  <si>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</si>
  <si>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</si>
  <si>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</si>
  <si>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</si>
  <si>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</si>
  <si>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</si>
  <si>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</si>
  <si>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</si>
  <si>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</si>
  <si>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</si>
  <si>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</si>
  <si>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</si>
  <si>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</si>
  <si>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</si>
  <si>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</si>
  <si>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</si>
  <si>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</si>
  <si>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</si>
  <si>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</si>
  <si>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</si>
  <si>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</si>
  <si>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</si>
  <si>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</si>
  <si>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</si>
  <si>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</si>
  <si>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</si>
  <si>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</si>
  <si>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</si>
  <si>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</si>
  <si>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</si>
  <si>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</si>
  <si>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</si>
  <si>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</si>
  <si>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</si>
  <si>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</si>
  <si>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</si>
  <si>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</si>
  <si>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</si>
  <si>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</si>
  <si>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</si>
  <si>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</si>
  <si>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</si>
  <si>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</si>
  <si>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</si>
  <si>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</si>
  <si>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</si>
  <si>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</si>
  <si>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</si>
  <si>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</si>
  <si>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</si>
  <si>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</si>
  <si>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</si>
  <si>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</si>
  <si>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</si>
  <si>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</si>
  <si>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</si>
  <si>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</si>
  <si>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</si>
  <si>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</si>
  <si>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</si>
  <si>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</si>
  <si>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</si>
  <si>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</si>
  <si>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</si>
  <si>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</si>
  <si>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</si>
  <si>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</si>
  <si>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</si>
  <si>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</si>
  <si>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</si>
  <si>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</si>
  <si>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</si>
  <si>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</si>
  <si>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</si>
  <si>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</si>
  <si>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</si>
  <si>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</si>
  <si>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</si>
  <si>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</si>
  <si>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</si>
  <si>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</si>
  <si>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</si>
  <si>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</si>
  <si>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</si>
  <si>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</si>
  <si>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</si>
  <si>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</si>
  <si>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</si>
  <si>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</si>
  <si>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</si>
  <si>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</si>
  <si>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</si>
  <si>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</si>
  <si>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</si>
  <si>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</si>
  <si>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</si>
  <si>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</si>
  <si>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</si>
  <si>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</si>
  <si>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</si>
  <si>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</si>
  <si>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</si>
  <si>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</si>
  <si>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</si>
  <si>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</si>
  <si>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</si>
  <si>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</si>
  <si>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</si>
  <si>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</si>
  <si>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</si>
  <si>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</si>
  <si>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</si>
  <si>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</si>
  <si>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</si>
  <si>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</si>
  <si>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</si>
  <si>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</si>
  <si>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</si>
  <si>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</si>
  <si>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</si>
  <si>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</si>
  <si>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</si>
  <si>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</si>
  <si>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</si>
  <si>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</si>
  <si>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</si>
  <si>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</si>
  <si>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</si>
  <si>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</si>
  <si>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</si>
  <si>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</si>
  <si>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</si>
  <si>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</si>
  <si>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</si>
  <si>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</si>
  <si>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</si>
  <si>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</si>
  <si>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</si>
  <si>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</si>
  <si>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</si>
  <si>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</si>
  <si>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</si>
  <si>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</si>
  <si>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</si>
  <si>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</si>
  <si>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</si>
  <si>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</si>
  <si>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</si>
  <si>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</si>
  <si>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</si>
  <si>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</si>
  <si>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</si>
  <si>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</si>
  <si>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</si>
  <si>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</si>
  <si>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</si>
  <si>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</si>
  <si>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</si>
  <si>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</si>
  <si>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</si>
  <si>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</si>
  <si>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</si>
  <si>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</si>
  <si>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</si>
  <si>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</si>
  <si>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</si>
  <si>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</si>
  <si>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</si>
  <si>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</si>
  <si>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</si>
  <si>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</si>
  <si>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</si>
  <si>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</si>
  <si>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</si>
  <si>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</si>
  <si>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</si>
  <si>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</si>
  <si>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</si>
  <si>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</si>
  <si>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</si>
  <si>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</si>
  <si>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</si>
  <si>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</si>
  <si>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</si>
  <si>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</si>
  <si>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</si>
  <si>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</si>
  <si>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</si>
  <si>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</si>
  <si>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</si>
  <si>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</si>
  <si>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</si>
  <si>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</si>
  <si>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</si>
  <si>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</si>
  <si>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</si>
  <si>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</si>
  <si>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</si>
  <si>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</si>
  <si>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</si>
  <si>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</si>
  <si>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</si>
  <si>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</si>
  <si>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</si>
  <si>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</si>
  <si>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</si>
  <si>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</si>
  <si>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</si>
  <si>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</si>
  <si>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</si>
  <si>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</si>
  <si>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</si>
  <si>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</si>
  <si>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</si>
  <si>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</si>
  <si>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</si>
  <si>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</si>
  <si>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</si>
  <si>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</si>
  <si>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</si>
  <si>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</si>
  <si>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</si>
  <si>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</si>
  <si>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</si>
  <si>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</si>
  <si>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</si>
  <si>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</si>
  <si>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</si>
  <si>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</si>
  <si>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</si>
  <si>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</si>
  <si>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</si>
  <si>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</si>
  <si>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</si>
  <si>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</si>
  <si>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</si>
  <si>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</si>
  <si>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</si>
  <si>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</si>
  <si>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</si>
  <si>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</si>
  <si>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</si>
  <si>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</si>
  <si>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</si>
  <si>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</si>
  <si>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</si>
  <si>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</si>
  <si>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</si>
  <si>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</si>
  <si>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</si>
  <si>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</si>
  <si>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</si>
  <si>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</si>
  <si>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</si>
  <si>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</si>
  <si>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</si>
  <si>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</si>
  <si>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</si>
  <si>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</si>
  <si>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</si>
  <si>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</si>
  <si>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</si>
  <si>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</si>
  <si>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</si>
  <si>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</si>
  <si>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</si>
  <si>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</si>
  <si>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</si>
  <si>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</si>
  <si>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</si>
  <si>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</si>
  <si>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</si>
  <si>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</si>
  <si>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</si>
  <si>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</si>
  <si>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</si>
  <si>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</si>
  <si>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</si>
  <si>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</si>
  <si>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</si>
  <si>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</si>
  <si>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</si>
  <si>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</si>
  <si>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</si>
  <si>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</si>
  <si>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</si>
  <si>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</si>
  <si>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</si>
  <si>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</si>
  <si>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</si>
  <si>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</si>
  <si>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</si>
  <si>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</si>
  <si>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</si>
  <si>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</si>
  <si>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</si>
  <si>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</si>
  <si>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</si>
  <si>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</si>
  <si>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</si>
  <si>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</si>
  <si>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</si>
  <si>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</si>
  <si>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</si>
  <si>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</si>
  <si>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</si>
  <si>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</si>
  <si>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</si>
  <si>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</si>
  <si>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</si>
  <si>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</si>
  <si>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</si>
  <si>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</si>
  <si>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</si>
  <si>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</si>
  <si>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</si>
  <si>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</si>
  <si>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</si>
  <si>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</si>
  <si>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</si>
  <si>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</si>
  <si>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</si>
  <si>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</si>
  <si>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</si>
  <si>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</si>
  <si>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</si>
  <si>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</si>
  <si>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</si>
  <si>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</si>
  <si>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</si>
  <si>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</si>
  <si>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</si>
  <si>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</si>
  <si>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</si>
  <si>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</si>
  <si>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</si>
  <si>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</si>
  <si>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</si>
  <si>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</si>
  <si>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</si>
  <si>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</si>
  <si>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</si>
  <si>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</si>
  <si>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</si>
  <si>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</si>
  <si>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</si>
  <si>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</si>
  <si>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</si>
  <si>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</si>
  <si>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</si>
  <si>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</si>
  <si>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</si>
  <si>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</si>
  <si>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</si>
  <si>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</si>
  <si>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</si>
  <si>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</si>
  <si>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</si>
  <si>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</si>
  <si>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</si>
  <si>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</si>
  <si>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</si>
  <si>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</si>
  <si>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</si>
  <si>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</si>
  <si>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</si>
  <si>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</si>
  <si>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</si>
  <si>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</si>
  <si>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</si>
  <si>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</si>
  <si>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</si>
  <si>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</si>
  <si>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</si>
  <si>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</si>
  <si>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</si>
  <si>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</si>
  <si>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</si>
  <si>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</si>
  <si>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</si>
  <si>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</si>
  <si>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</si>
  <si>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</si>
  <si>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</si>
  <si>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</si>
  <si>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</si>
  <si>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</si>
  <si>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</si>
  <si>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</si>
  <si>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</si>
  <si>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</si>
  <si>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</si>
  <si>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</si>
  <si>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</si>
  <si>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</si>
  <si>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</si>
  <si>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</si>
  <si>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</si>
  <si>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</si>
  <si>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</si>
  <si>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</si>
  <si>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</si>
  <si>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</si>
  <si>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</si>
  <si>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</si>
  <si>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</si>
  <si>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</si>
  <si>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</si>
  <si>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</si>
  <si>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</si>
  <si>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</si>
  <si>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</si>
  <si>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</si>
  <si>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</si>
  <si>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</si>
  <si>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</si>
  <si>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</si>
  <si>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</si>
  <si>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</si>
  <si>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</si>
  <si>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</si>
  <si>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</si>
  <si>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</si>
  <si>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</si>
  <si>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</si>
  <si>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</si>
  <si>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</si>
  <si>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</si>
  <si>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</si>
  <si>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</si>
  <si>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</si>
  <si>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</si>
  <si>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</si>
  <si>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</si>
  <si>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</si>
  <si>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</si>
  <si>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</si>
  <si>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</si>
  <si>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</si>
  <si>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</si>
  <si>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</si>
  <si>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</si>
  <si>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</si>
  <si>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</si>
  <si>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</si>
  <si>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</si>
  <si>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</si>
  <si>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</si>
  <si>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</si>
  <si>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</si>
  <si>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</si>
  <si>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</si>
  <si>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</si>
  <si>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</si>
  <si>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</si>
  <si>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</si>
  <si>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</si>
  <si>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</si>
  <si>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</si>
  <si>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</si>
  <si>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</si>
  <si>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</si>
  <si>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</si>
  <si>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</si>
  <si>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</si>
  <si>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</si>
  <si>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</si>
  <si>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</si>
  <si>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</si>
  <si>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</si>
  <si>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</si>
  <si>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</si>
  <si>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</si>
  <si>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</si>
  <si>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</si>
  <si>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</si>
  <si>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</si>
  <si>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</si>
  <si>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</si>
  <si>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</si>
  <si>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</si>
  <si>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</si>
  <si>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</si>
  <si>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</si>
  <si>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</si>
  <si>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</si>
  <si>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</si>
  <si>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</si>
  <si>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</si>
  <si>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</si>
  <si>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</si>
  <si>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</si>
  <si>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</si>
  <si>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</si>
  <si>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</si>
  <si>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</si>
  <si>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</si>
  <si>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</si>
  <si>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</si>
  <si>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</si>
  <si>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</si>
  <si>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</si>
  <si>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</si>
  <si>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</si>
  <si>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</si>
  <si>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</si>
  <si>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</si>
  <si>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</si>
  <si>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</si>
  <si>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</si>
  <si>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</si>
  <si>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</si>
  <si>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</si>
  <si>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</si>
  <si>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</si>
  <si>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</si>
  <si>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</si>
  <si>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</si>
  <si>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</si>
  <si>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</si>
  <si>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</si>
  <si>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</si>
  <si>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</si>
  <si>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</si>
  <si>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</si>
  <si>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</si>
  <si>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</si>
  <si>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</si>
  <si>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</si>
  <si>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</si>
  <si>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</si>
  <si>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</si>
  <si>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</si>
  <si>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</si>
  <si>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</si>
  <si>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</si>
  <si>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</si>
  <si>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</si>
  <si>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</si>
  <si>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</si>
  <si>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</si>
  <si>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</si>
  <si>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</si>
  <si>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</si>
  <si>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</si>
  <si>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</si>
  <si>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</si>
  <si>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</si>
  <si>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</si>
  <si>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</si>
  <si>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</si>
  <si>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</si>
  <si>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</si>
  <si>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</si>
  <si>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</si>
  <si>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</si>
  <si>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</si>
  <si>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</si>
  <si>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</si>
  <si>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</si>
  <si>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</si>
  <si>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</si>
  <si>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</si>
  <si>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</si>
  <si>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</si>
  <si>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</si>
  <si>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</si>
  <si>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</si>
  <si>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</si>
  <si>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</si>
  <si>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</si>
  <si>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</si>
  <si>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</si>
  <si>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</si>
  <si>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</si>
  <si>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</si>
  <si>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</si>
  <si>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</si>
  <si>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</si>
  <si>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</si>
  <si>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</si>
  <si>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</si>
  <si>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</si>
  <si>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</si>
  <si>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</si>
  <si>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</si>
  <si>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</si>
  <si>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</si>
  <si>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</si>
  <si>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</si>
  <si>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</si>
  <si>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</si>
  <si>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</si>
  <si>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</si>
  <si>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</si>
  <si>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</si>
  <si>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</si>
  <si>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</si>
  <si>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</si>
  <si>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</si>
  <si>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</si>
  <si>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</si>
  <si>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</si>
  <si>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</si>
  <si>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</si>
  <si>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</si>
  <si>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</si>
  <si>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</si>
  <si>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</si>
  <si>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</si>
  <si>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</si>
  <si>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</si>
  <si>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</si>
  <si>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</si>
  <si>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</si>
  <si>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</si>
  <si>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</si>
  <si>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</si>
  <si>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</si>
  <si>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</si>
  <si>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</si>
  <si>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</si>
  <si>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</si>
  <si>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</si>
  <si>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</si>
  <si>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</si>
  <si>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</si>
  <si>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</si>
  <si>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</si>
  <si>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</si>
  <si>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</si>
  <si>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</si>
  <si>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</si>
  <si>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</si>
  <si>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</si>
  <si>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</si>
  <si>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</si>
  <si>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</si>
  <si>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</si>
  <si>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</si>
  <si>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</si>
  <si>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</si>
  <si>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</si>
  <si>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</si>
  <si>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</si>
  <si>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</si>
  <si>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</si>
  <si>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</si>
  <si>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</si>
  <si>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</si>
  <si>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</si>
  <si>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</si>
  <si>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</si>
  <si>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</si>
  <si>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</si>
  <si>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</si>
  <si>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</si>
  <si>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</si>
  <si>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</si>
  <si>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</si>
  <si>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</si>
  <si>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</si>
  <si>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</si>
  <si>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</si>
  <si>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</si>
  <si>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</si>
  <si>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</si>
  <si>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</si>
  <si>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</si>
  <si>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</si>
  <si>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</si>
  <si>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</si>
  <si>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</si>
  <si>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</si>
  <si>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</si>
  <si>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</si>
  <si>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</si>
  <si>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</si>
  <si>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</si>
  <si>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</si>
  <si>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</si>
  <si>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</si>
  <si>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</si>
  <si>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</si>
  <si>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</si>
  <si>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</si>
  <si>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</si>
  <si>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</si>
  <si>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</si>
  <si>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</si>
  <si>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</si>
  <si>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</si>
  <si>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</si>
  <si>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</si>
  <si>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</si>
  <si>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</si>
  <si>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</si>
  <si>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</si>
  <si>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</si>
  <si>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</si>
  <si>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</si>
  <si>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</si>
  <si>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</si>
  <si>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</si>
  <si>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</si>
  <si>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</si>
  <si>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</si>
  <si>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</si>
  <si>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</si>
  <si>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</si>
  <si>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</si>
  <si>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</si>
  <si>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</si>
  <si>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</si>
  <si>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</si>
  <si>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</si>
  <si>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</si>
  <si>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</si>
  <si>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</si>
  <si>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</si>
  <si>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</si>
  <si>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</si>
  <si>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</si>
  <si>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</si>
  <si>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</si>
  <si>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</si>
  <si>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</si>
  <si>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</si>
  <si>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</si>
  <si>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</si>
  <si>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</si>
  <si>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</si>
  <si>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</si>
  <si>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</si>
  <si>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</si>
  <si>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</si>
  <si>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</si>
  <si>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</si>
  <si>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</si>
  <si>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</si>
  <si>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</si>
  <si>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</si>
  <si>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</si>
  <si>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</si>
  <si>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</si>
  <si>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</si>
  <si>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</si>
  <si>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</si>
  <si>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</si>
  <si>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</si>
  <si>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</si>
  <si>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</si>
  <si>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</si>
  <si>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</si>
  <si>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</si>
  <si>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</si>
  <si>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</si>
  <si>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</si>
  <si>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</si>
  <si>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</si>
  <si>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</si>
  <si>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</si>
  <si>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</si>
  <si>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</si>
  <si>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</si>
  <si>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</si>
  <si>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</si>
  <si>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</si>
  <si>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</si>
  <si>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</si>
  <si>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</si>
  <si>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</si>
  <si>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</si>
  <si>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</si>
  <si>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</si>
  <si>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</si>
  <si>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</si>
  <si>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</si>
  <si>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</si>
  <si>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</si>
  <si>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</si>
  <si>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</si>
  <si>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</si>
  <si>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</si>
  <si>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</si>
  <si>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</si>
  <si>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</si>
  <si>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</si>
  <si>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</si>
  <si>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</si>
  <si>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</si>
  <si>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</si>
  <si>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</si>
  <si>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</si>
  <si>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</si>
  <si>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</si>
  <si>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</si>
  <si>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</si>
  <si>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</si>
  <si>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</si>
  <si>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</si>
  <si>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</si>
  <si>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</si>
  <si>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</si>
  <si>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</si>
  <si>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</si>
  <si>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</si>
  <si>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</si>
  <si>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</si>
  <si>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</si>
  <si>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</si>
  <si>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</si>
  <si>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</si>
  <si>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</si>
  <si>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</si>
  <si>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</si>
  <si>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</si>
  <si>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</si>
  <si>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</si>
  <si>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</si>
  <si>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</si>
  <si>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</si>
  <si>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</si>
  <si>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</si>
  <si>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</si>
  <si>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</si>
  <si>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</si>
  <si>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</si>
  <si>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</si>
  <si>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</si>
  <si>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</si>
  <si>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</si>
  <si>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</si>
  <si>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</si>
  <si>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</si>
  <si>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</si>
  <si>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</si>
  <si>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</si>
  <si>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</si>
  <si>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</si>
  <si>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</si>
  <si>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</si>
  <si>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</si>
  <si>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</si>
  <si>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</si>
  <si>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</si>
  <si>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</si>
  <si>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</si>
  <si>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</si>
  <si>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</si>
  <si>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</si>
  <si>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</si>
  <si>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</si>
  <si>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</si>
  <si>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</si>
  <si>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</si>
  <si>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</si>
  <si>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</si>
  <si>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</si>
  <si>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</si>
  <si>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</si>
  <si>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</si>
  <si>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</si>
  <si>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</si>
  <si>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</si>
  <si>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</si>
  <si>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</si>
  <si>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</si>
  <si>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</si>
  <si>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</si>
  <si>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</si>
  <si>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</si>
  <si>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</si>
  <si>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</si>
  <si>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</si>
  <si>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</si>
  <si>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</si>
  <si>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</si>
  <si>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</si>
  <si>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</si>
  <si>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</si>
  <si>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</si>
  <si>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</si>
  <si>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</si>
  <si>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</si>
  <si>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</si>
  <si>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</si>
  <si>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</si>
  <si>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</si>
  <si>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</si>
  <si>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</si>
  <si>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</si>
  <si>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</si>
  <si>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</si>
  <si>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</si>
  <si>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</si>
  <si>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</si>
  <si>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</si>
  <si>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</si>
  <si>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</si>
  <si>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</si>
  <si>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</si>
  <si>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</si>
  <si>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</si>
  <si>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</si>
  <si>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</si>
  <si>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</si>
  <si>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</si>
  <si>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</si>
  <si>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</si>
  <si>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</si>
  <si>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</si>
  <si>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</si>
  <si>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</si>
  <si>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</si>
  <si>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</si>
  <si>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</si>
  <si>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</si>
  <si>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</si>
  <si>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</si>
  <si>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</si>
  <si>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</si>
  <si>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</si>
  <si>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</si>
  <si>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</si>
  <si>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</si>
  <si>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</si>
  <si>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</si>
  <si>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</si>
  <si>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</si>
  <si>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</si>
  <si>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</si>
  <si>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</si>
  <si>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</si>
  <si>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</si>
  <si>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</si>
  <si>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</si>
  <si>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</si>
  <si>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</si>
  <si>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</si>
  <si>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</si>
  <si>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</si>
  <si>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</si>
  <si>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</si>
  <si>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</si>
  <si>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</si>
  <si>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</si>
  <si>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</si>
  <si>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</si>
  <si>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</si>
  <si>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</si>
  <si>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</si>
  <si>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</si>
  <si>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</si>
  <si>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</si>
  <si>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</si>
  <si>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</si>
  <si>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</si>
  <si>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</si>
  <si>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</si>
  <si>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</si>
  <si>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</si>
  <si>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</si>
  <si>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</si>
  <si>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</si>
  <si>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</si>
  <si>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</si>
  <si>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</si>
  <si>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</si>
  <si>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</si>
  <si>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</si>
  <si>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</si>
  <si>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</si>
  <si>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</si>
  <si>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</si>
  <si>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</si>
  <si>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</si>
  <si>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</si>
  <si>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</si>
  <si>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</si>
  <si>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</si>
  <si>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</si>
  <si>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</si>
  <si>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</si>
  <si>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</si>
  <si>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</si>
  <si>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</si>
  <si>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</si>
  <si>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</si>
  <si>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</si>
  <si>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</si>
  <si>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</si>
  <si>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</si>
  <si>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</si>
  <si>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</si>
  <si>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</si>
  <si>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</si>
  <si>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</si>
  <si>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</si>
  <si>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</si>
  <si>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</si>
  <si>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</si>
  <si>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</si>
  <si>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</si>
  <si>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</si>
  <si>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</si>
  <si>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</si>
  <si>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</si>
  <si>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</si>
  <si>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</si>
  <si>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</si>
  <si>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</si>
  <si>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</si>
  <si>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</si>
  <si>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</si>
  <si>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</si>
  <si>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</si>
  <si>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</si>
  <si>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</si>
  <si>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</si>
  <si>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</si>
  <si>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</si>
  <si>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</si>
  <si>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</si>
  <si>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</si>
  <si>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</si>
  <si>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</si>
  <si>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</si>
  <si>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</si>
  <si>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</si>
  <si>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</si>
  <si>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</si>
  <si>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</si>
  <si>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</si>
  <si>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</si>
  <si>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</si>
  <si>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</si>
  <si>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</si>
  <si>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</si>
  <si>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</si>
  <si>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</si>
  <si>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</si>
  <si>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</si>
  <si>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</si>
  <si>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</si>
  <si>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</si>
  <si>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</si>
  <si>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</si>
  <si>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</si>
  <si>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</si>
  <si>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</si>
  <si>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</si>
  <si>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</si>
  <si>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</si>
  <si>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</si>
  <si>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</si>
  <si>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</si>
  <si>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</si>
  <si>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</si>
  <si>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</si>
  <si>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</si>
  <si>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</si>
  <si>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</si>
  <si>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</si>
  <si>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</si>
  <si>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</si>
  <si>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</si>
  <si>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</si>
  <si>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</si>
  <si>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</si>
  <si>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</si>
  <si>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</si>
  <si>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</si>
  <si>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</si>
  <si>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</si>
  <si>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</si>
  <si>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</si>
  <si>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</si>
  <si>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</si>
  <si>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</si>
  <si>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</si>
  <si>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</si>
  <si>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</si>
  <si>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</si>
  <si>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</si>
  <si>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</si>
  <si>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</si>
  <si>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</si>
  <si>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</si>
  <si>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</si>
  <si>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</si>
  <si>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</si>
  <si>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</si>
  <si>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</si>
  <si>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</si>
  <si>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</si>
  <si>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</si>
  <si>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</si>
  <si>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</si>
  <si>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</si>
  <si>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</si>
  <si>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</si>
  <si>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</si>
  <si>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</si>
  <si>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</si>
  <si>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</si>
  <si>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</si>
  <si>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</si>
  <si>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</si>
  <si>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</si>
  <si>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</si>
  <si>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</si>
  <si>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</si>
  <si>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</si>
  <si>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</si>
  <si>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</si>
  <si>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</si>
  <si>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</si>
  <si>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</si>
  <si>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</si>
  <si>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</si>
  <si>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</si>
  <si>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</si>
  <si>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</si>
  <si>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</si>
  <si>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</si>
  <si>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</si>
  <si>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</si>
  <si>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</si>
  <si>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</si>
  <si>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</si>
  <si>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</si>
  <si>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</si>
  <si>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</si>
  <si>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</si>
  <si>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</si>
  <si>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</si>
  <si>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</si>
  <si>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</si>
  <si>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</si>
  <si>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</si>
  <si>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</si>
  <si>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</si>
  <si>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</si>
  <si>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</si>
  <si>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</si>
  <si>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</si>
  <si>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</si>
  <si>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</si>
  <si>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</si>
  <si>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</si>
  <si>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</si>
  <si>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</si>
  <si>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</si>
  <si>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</si>
  <si>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</si>
  <si>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</si>
  <si>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</si>
  <si>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</si>
  <si>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</si>
  <si>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</si>
  <si>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</si>
  <si>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</si>
  <si>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</si>
  <si>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</si>
  <si>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</si>
  <si>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</si>
  <si>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</si>
  <si>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</si>
  <si>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</si>
  <si>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</si>
  <si>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</si>
  <si>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</si>
  <si>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</si>
  <si>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</si>
  <si>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</si>
  <si>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</si>
  <si>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</si>
  <si>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</si>
  <si>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</si>
  <si>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</si>
  <si>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</si>
  <si>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</si>
  <si>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</si>
  <si>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</si>
  <si>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</si>
  <si>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</si>
  <si>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</si>
  <si>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</si>
  <si>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</si>
  <si>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</si>
  <si>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</si>
  <si>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</si>
  <si>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</si>
  <si>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</si>
  <si>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</si>
  <si>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</si>
  <si>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</si>
  <si>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</si>
  <si>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</si>
  <si>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</si>
  <si>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</si>
  <si>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</si>
  <si>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</si>
  <si>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</si>
  <si>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</si>
  <si>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</si>
  <si>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</si>
  <si>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</si>
  <si>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</si>
  <si>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</si>
  <si>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</si>
  <si>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</si>
  <si>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</si>
  <si>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</si>
  <si>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</si>
  <si>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</si>
  <si>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</si>
  <si>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</si>
  <si>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</si>
  <si>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</si>
  <si>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</si>
  <si>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</si>
  <si>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</si>
  <si>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</si>
  <si>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</si>
  <si>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</si>
  <si>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</si>
  <si>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</si>
  <si>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</si>
  <si>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</si>
  <si>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</si>
  <si>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</si>
  <si>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</si>
  <si>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</si>
  <si>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</si>
  <si>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</si>
  <si>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</si>
  <si>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</si>
  <si>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</si>
  <si>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</si>
  <si>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</si>
  <si>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</si>
  <si>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</si>
  <si>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</si>
  <si>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</si>
  <si>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</si>
  <si>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</si>
  <si>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</si>
  <si>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</si>
  <si>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</si>
  <si>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</si>
  <si>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</si>
  <si>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</si>
  <si>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</si>
  <si>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</si>
  <si>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</si>
  <si>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</si>
  <si>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</si>
  <si>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</si>
  <si>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</si>
  <si>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</si>
  <si>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</si>
  <si>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</si>
  <si>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</si>
  <si>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</si>
  <si>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</si>
  <si>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</si>
  <si>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</si>
  <si>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</si>
  <si>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</si>
  <si>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</si>
  <si>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</si>
  <si>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</si>
  <si>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</si>
  <si>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</si>
  <si>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</si>
  <si>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</si>
  <si>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</si>
  <si>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</si>
  <si>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</si>
  <si>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</si>
  <si>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</si>
  <si>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</si>
  <si>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</si>
  <si>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</si>
  <si>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</si>
  <si>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</si>
  <si>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</si>
  <si>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</si>
  <si>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</si>
  <si>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</si>
  <si>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</si>
  <si>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</si>
  <si>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</si>
  <si>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</si>
  <si>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</si>
  <si>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</si>
  <si>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</si>
  <si>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</si>
  <si>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</si>
  <si>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</si>
  <si>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</si>
  <si>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</si>
  <si>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</si>
  <si>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</si>
  <si>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</si>
  <si>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</si>
  <si>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</si>
  <si>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</si>
  <si>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</si>
  <si>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</si>
  <si>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</si>
  <si>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</si>
  <si>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</si>
  <si>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</si>
  <si>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</si>
  <si>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</si>
  <si>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</si>
  <si>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</si>
  <si>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</si>
  <si>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</si>
  <si>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</si>
  <si>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</si>
  <si>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</si>
  <si>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</si>
  <si>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</si>
  <si>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</si>
  <si>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</si>
  <si>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</si>
  <si>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</si>
  <si>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</si>
  <si>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</si>
  <si>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</si>
  <si>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</si>
  <si>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</si>
  <si>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</si>
  <si>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</si>
  <si>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</si>
  <si>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</si>
  <si>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</si>
  <si>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</si>
  <si>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</si>
  <si>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</si>
  <si>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</si>
  <si>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</si>
  <si>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</si>
  <si>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</si>
  <si>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</si>
  <si>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</si>
  <si>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</si>
  <si>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</si>
  <si>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</si>
  <si>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</si>
  <si>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</si>
  <si>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</si>
  <si>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</si>
  <si>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</si>
  <si>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</si>
  <si>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</si>
  <si>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</si>
  <si>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</si>
  <si>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</si>
  <si>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</si>
  <si>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</si>
  <si>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</si>
  <si>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</si>
  <si>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</si>
  <si>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</si>
  <si>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</si>
  <si>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</si>
  <si>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</si>
  <si>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</si>
  <si>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</si>
  <si>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</si>
  <si>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</si>
  <si>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</si>
  <si>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</si>
  <si>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</si>
  <si>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</si>
  <si>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</si>
  <si>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</si>
  <si>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</si>
  <si>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</si>
  <si>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</si>
  <si>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</si>
  <si>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</si>
  <si>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</si>
  <si>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</si>
  <si>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</si>
  <si>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</si>
  <si>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</si>
  <si>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</si>
  <si>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</si>
  <si>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</si>
  <si>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</si>
  <si>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</si>
  <si>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</si>
  <si>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</si>
  <si>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</si>
  <si>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</si>
  <si>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</si>
  <si>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</si>
  <si>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</si>
  <si>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</si>
  <si>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</si>
  <si>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</si>
  <si>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</si>
  <si>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</si>
  <si>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</si>
  <si>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</si>
  <si>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</si>
  <si>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</si>
  <si>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</si>
  <si>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</si>
  <si>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</si>
  <si>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</si>
  <si>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</si>
  <si>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</si>
  <si>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</si>
  <si>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</si>
  <si>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</si>
  <si>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</si>
  <si>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</si>
  <si>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</si>
  <si>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</si>
  <si>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</si>
  <si>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</si>
  <si>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</si>
  <si>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</si>
  <si>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</si>
  <si>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</si>
  <si>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</si>
  <si>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</si>
  <si>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</si>
  <si>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</si>
  <si>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</si>
  <si>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</si>
  <si>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</si>
  <si>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</si>
  <si>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</si>
  <si>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</si>
  <si>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</si>
  <si>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</si>
  <si>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</si>
  <si>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</si>
  <si>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</si>
  <si>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</si>
  <si>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</si>
  <si>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</si>
  <si>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</si>
  <si>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</si>
  <si>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</si>
  <si>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</si>
  <si>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</si>
  <si>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</si>
  <si>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</si>
  <si>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</si>
  <si>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</si>
  <si>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</si>
  <si>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</si>
  <si>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</si>
  <si>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</si>
  <si>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</si>
  <si>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</si>
  <si>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</si>
  <si>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</si>
  <si>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</si>
  <si>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</si>
  <si>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</si>
  <si>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</si>
  <si>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</si>
  <si>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Aufbau ND/PGD</t>
  </si>
  <si>
    <t>66-A53-96D 313785</t>
  </si>
  <si>
    <t>5QA.803.106</t>
  </si>
  <si>
    <t>5QA.803.108</t>
  </si>
  <si>
    <t>ST1520</t>
  </si>
  <si>
    <t>5qa802035b_022_wps0001_R</t>
  </si>
  <si>
    <t>KJLTVR411520R01</t>
  </si>
  <si>
    <t>C</t>
  </si>
  <si>
    <t>66-59D367395</t>
  </si>
  <si>
    <t>5QA.805.758</t>
  </si>
  <si>
    <t>5qa802035b_046_avps0001_R</t>
  </si>
  <si>
    <t>5Q0.804.070</t>
  </si>
  <si>
    <t>5qa802035b_018_sps0035_R</t>
  </si>
</sst>
</file>

<file path=xl/styles.xml><?xml version="1.0" encoding="utf-8"?>
<styleSheet xmlns="http://schemas.openxmlformats.org/spreadsheetml/2006/main" xmlns:mc="http://schemas.openxmlformats.org/markup-compatibility/2006" xmlns:x14ac="http://schemas.microsoft.com/office/spreadsheetml/2009/9/ac" mc:Ignorable="x14ac">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1520</a:t>
          </a:r>
          <a:endParaRPr lang="pt-BR" sz="2800">
            <a:effectLst/>
          </a:endParaRPr>
        </a:p>
      </xdr:txBody>
    </xdr:sp>
    <xdr:clientData/>
  </xdr:twoCellAnchor>
  <xdr:twoCellAnchor>
    <xdr:from>
      <xdr:col>1</xdr:col>
      <xdr:colOff>15875</xdr:colOff>
      <xdr:row>41</xdr:row>
      <xdr:rowOff>123825</xdr:rowOff>
    </xdr:from>
    <xdr:to>
      <xdr:col>9</xdr:col>
      <xdr:colOff>342900</xdr:colOff>
      <xdr:row>52</xdr:row>
      <xdr:rowOff>12990</xdr:rowOff>
    </xdr:to>
    <xdr:sp macro="" textlink="">
      <xdr:nvSpPr>
        <xdr:cNvPr id="6" name="Rechteck 28">
          <a:extLst>
            <a:ext uri="{FF2B5EF4-FFF2-40B4-BE49-F238E27FC236}">
              <a16:creationId xmlns="" xmlns:a16="http://schemas.microsoft.com/office/drawing/2014/main" id="{737448D9-78E4-45C4-BAFA-D1FDFEE84A41}"/>
            </a:ext>
          </a:extLst>
        </xdr:cNvPr>
        <xdr:cNvSpPr/>
      </xdr:nvSpPr>
      <xdr:spPr bwMode="auto">
        <a:xfrm>
          <a:off x="381000" y="923607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215900</xdr:rowOff>
    </xdr:from>
    <xdr:to>
      <xdr:col>24</xdr:col>
      <xdr:colOff>272468</xdr:colOff>
      <xdr:row>47</xdr:row>
      <xdr:rowOff>49497</xdr:rowOff>
    </xdr:to>
    <xdr:sp macro="" textlink="">
      <xdr:nvSpPr>
        <xdr:cNvPr id="7" name="Text Box 147">
          <a:extLst>
            <a:ext uri="{FF2B5EF4-FFF2-40B4-BE49-F238E27FC236}">
              <a16:creationId xmlns="" xmlns:a16="http://schemas.microsoft.com/office/drawing/2014/main" id="{2471BA5B-AD13-4BC2-A8C1-8378CBD78C8B}"/>
            </a:ext>
          </a:extLst>
        </xdr:cNvPr>
        <xdr:cNvSpPr txBox="1">
          <a:spLocks noChangeArrowheads="1"/>
        </xdr:cNvSpPr>
      </xdr:nvSpPr>
      <xdr:spPr bwMode="auto">
        <a:xfrm>
          <a:off x="6942696" y="1021715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3x GEO 1520R01</a:t>
          </a:r>
        </a:p>
      </xdr:txBody>
    </xdr:sp>
    <xdr:clientData/>
  </xdr:twoCellAnchor>
  <xdr:twoCellAnchor>
    <xdr:from>
      <xdr:col>13</xdr:col>
      <xdr:colOff>24493</xdr:colOff>
      <xdr:row>46</xdr:row>
      <xdr:rowOff>69850</xdr:rowOff>
    </xdr:from>
    <xdr:to>
      <xdr:col>13</xdr:col>
      <xdr:colOff>189594</xdr:colOff>
      <xdr:row>47</xdr:row>
      <xdr:rowOff>9279</xdr:rowOff>
    </xdr:to>
    <xdr:sp macro="" textlink="">
      <xdr:nvSpPr>
        <xdr:cNvPr id="10" name="Oval 96">
          <a:extLst>
            <a:ext uri="{FF2B5EF4-FFF2-40B4-BE49-F238E27FC236}">
              <a16:creationId xmlns="" xmlns:a16="http://schemas.microsoft.com/office/drawing/2014/main" id="{601A634E-C47D-4F59-B200-66A78557C11E}"/>
            </a:ext>
          </a:extLst>
        </xdr:cNvPr>
        <xdr:cNvSpPr/>
      </xdr:nvSpPr>
      <xdr:spPr>
        <a:xfrm rot="10800000" flipH="1" flipV="1">
          <a:off x="6723743" y="1029335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200025</xdr:rowOff>
    </xdr:from>
    <xdr:to>
      <xdr:col>8</xdr:col>
      <xdr:colOff>1091005</xdr:colOff>
      <xdr:row>51</xdr:row>
      <xdr:rowOff>124113</xdr:rowOff>
    </xdr:to>
    <xdr:sp macro="" textlink="">
      <xdr:nvSpPr>
        <xdr:cNvPr id="11" name="Textfeld 38">
          <a:extLst>
            <a:ext uri="{FF2B5EF4-FFF2-40B4-BE49-F238E27FC236}">
              <a16:creationId xmlns="" xmlns:a16="http://schemas.microsoft.com/office/drawing/2014/main" id="{C0E28780-21CA-4BFE-9C8E-198595532567}"/>
            </a:ext>
          </a:extLst>
        </xdr:cNvPr>
        <xdr:cNvSpPr txBox="1"/>
      </xdr:nvSpPr>
      <xdr:spPr>
        <a:xfrm>
          <a:off x="945243" y="1109027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xdr:from>
      <xdr:col>3</xdr:col>
      <xdr:colOff>135617</xdr:colOff>
      <xdr:row>50</xdr:row>
      <xdr:rowOff>73025</xdr:rowOff>
    </xdr:from>
    <xdr:to>
      <xdr:col>3</xdr:col>
      <xdr:colOff>300718</xdr:colOff>
      <xdr:row>51</xdr:row>
      <xdr:rowOff>28329</xdr:rowOff>
    </xdr:to>
    <xdr:sp macro="" textlink="">
      <xdr:nvSpPr>
        <xdr:cNvPr id="12" name="Oval 96">
          <a:extLst>
            <a:ext uri="{FF2B5EF4-FFF2-40B4-BE49-F238E27FC236}">
              <a16:creationId xmlns="" xmlns:a16="http://schemas.microsoft.com/office/drawing/2014/main" id="{9DBEE6E9-9C96-4D88-B1D0-A24BCAA9B6DC}"/>
            </a:ext>
          </a:extLst>
        </xdr:cNvPr>
        <xdr:cNvSpPr/>
      </xdr:nvSpPr>
      <xdr:spPr>
        <a:xfrm rot="10800000" flipH="1" flipV="1">
          <a:off x="1056367" y="111855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326118</xdr:colOff>
      <xdr:row>42</xdr:row>
      <xdr:rowOff>120649</xdr:rowOff>
    </xdr:from>
    <xdr:to>
      <xdr:col>8</xdr:col>
      <xdr:colOff>1102347</xdr:colOff>
      <xdr:row>48</xdr:row>
      <xdr:rowOff>200024</xdr:rowOff>
    </xdr:to>
    <xdr:pic>
      <xdr:nvPicPr>
        <xdr:cNvPr id="13" name="Imagem 12">
          <a:extLst>
            <a:ext uri="{FF2B5EF4-FFF2-40B4-BE49-F238E27FC236}">
              <a16:creationId xmlns="" xmlns:a16="http://schemas.microsoft.com/office/drawing/2014/main" id="{71C0F9A9-CCAC-4F9F-97FA-1E5807FAF216}"/>
            </a:ext>
          </a:extLst>
        </xdr:cNvPr>
        <xdr:cNvPicPr>
          <a:picLocks noChangeAspect="1"/>
        </xdr:cNvPicPr>
      </xdr:nvPicPr>
      <xdr:blipFill>
        <a:blip xmlns:r="http://schemas.openxmlformats.org/officeDocument/2006/relationships" r:embed="rId2"/>
        <a:stretch>
          <a:fillRect/>
        </a:stretch>
      </xdr:blipFill>
      <xdr:spPr>
        <a:xfrm>
          <a:off x="865868" y="9455149"/>
          <a:ext cx="2982854" cy="1412875"/>
        </a:xfrm>
        <a:prstGeom prst="rect">
          <a:avLst/>
        </a:prstGeom>
      </xdr:spPr>
    </xdr:pic>
    <xdr:clientData/>
  </xdr:twoCellAnchor>
  <xdr:twoCellAnchor editAs="oneCell">
    <xdr:from>
      <xdr:col>5</xdr:col>
      <xdr:colOff>402319</xdr:colOff>
      <xdr:row>7</xdr:row>
      <xdr:rowOff>111125</xdr:rowOff>
    </xdr:from>
    <xdr:to>
      <xdr:col>34</xdr:col>
      <xdr:colOff>441783</xdr:colOff>
      <xdr:row>37</xdr:row>
      <xdr:rowOff>57150</xdr:rowOff>
    </xdr:to>
    <xdr:pic>
      <xdr:nvPicPr>
        <xdr:cNvPr id="14" name="Imagem 13">
          <a:extLst>
            <a:ext uri="{FF2B5EF4-FFF2-40B4-BE49-F238E27FC236}">
              <a16:creationId xmlns="" xmlns:a16="http://schemas.microsoft.com/office/drawing/2014/main" id="{92EF7045-F3A5-4E9F-8F2E-939C0486AA2E}"/>
            </a:ext>
          </a:extLst>
        </xdr:cNvPr>
        <xdr:cNvPicPr>
          <a:picLocks noChangeAspect="1"/>
        </xdr:cNvPicPr>
      </xdr:nvPicPr>
      <xdr:blipFill>
        <a:blip xmlns:r="http://schemas.openxmlformats.org/officeDocument/2006/relationships" r:embed="rId3"/>
        <a:stretch>
          <a:fillRect/>
        </a:stretch>
      </xdr:blipFill>
      <xdr:spPr>
        <a:xfrm>
          <a:off x="2243819" y="1666875"/>
          <a:ext cx="15025464" cy="6613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8"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8"/>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29"/>
      <c r="B2" s="62"/>
      <c r="C2" s="77" t="s">
        <v>26</v>
      </c>
      <c r="D2" s="77" t="s">
        <v>27</v>
      </c>
      <c r="E2" s="78"/>
      <c r="F2" s="558" t="s">
        <v>28</v>
      </c>
      <c r="G2" s="559"/>
      <c r="H2" s="560"/>
      <c r="I2" s="79" t="s">
        <v>29</v>
      </c>
      <c r="J2" s="80" t="s">
        <v>30</v>
      </c>
      <c r="K2" s="78"/>
      <c r="L2" s="81"/>
      <c r="M2" s="579" t="s">
        <v>31</v>
      </c>
      <c r="N2" s="580"/>
      <c r="O2" s="580"/>
      <c r="P2" s="580"/>
      <c r="Q2" s="580"/>
      <c r="R2" s="580"/>
      <c r="S2" s="580"/>
      <c r="T2" s="580"/>
      <c r="U2" s="580"/>
      <c r="V2" s="580"/>
      <c r="W2" s="580"/>
      <c r="X2" s="580"/>
      <c r="Y2" s="580"/>
      <c r="Z2" s="580"/>
      <c r="AA2" s="580"/>
      <c r="AB2" s="580"/>
      <c r="AC2" s="580"/>
      <c r="AD2" s="580"/>
      <c r="AE2" s="580"/>
      <c r="AF2" s="580"/>
      <c r="AG2" s="580"/>
      <c r="AH2" s="580"/>
      <c r="AI2" s="580"/>
      <c r="AJ2" s="581"/>
      <c r="AK2" s="70"/>
      <c r="AL2" s="70"/>
      <c r="AM2" s="76"/>
    </row>
    <row r="3" spans="1:39" ht="17.25" customHeight="1">
      <c r="A3" s="629"/>
      <c r="B3" s="62"/>
      <c r="C3" s="165">
        <v>0</v>
      </c>
      <c r="D3" s="164" t="s">
        <v>1924</v>
      </c>
      <c r="E3" s="92"/>
      <c r="F3" s="523">
        <v>45013</v>
      </c>
      <c r="G3" s="524"/>
      <c r="H3" s="525"/>
      <c r="I3" s="93" t="s">
        <v>1922</v>
      </c>
      <c r="J3" s="94"/>
      <c r="K3" s="95"/>
      <c r="L3" s="94"/>
      <c r="M3" s="582" t="s">
        <v>1923</v>
      </c>
      <c r="N3" s="583"/>
      <c r="O3" s="583"/>
      <c r="P3" s="583"/>
      <c r="Q3" s="583"/>
      <c r="R3" s="583"/>
      <c r="S3" s="583"/>
      <c r="T3" s="583"/>
      <c r="U3" s="583"/>
      <c r="V3" s="583"/>
      <c r="W3" s="583"/>
      <c r="X3" s="583"/>
      <c r="Y3" s="583"/>
      <c r="Z3" s="583"/>
      <c r="AA3" s="583"/>
      <c r="AB3" s="583"/>
      <c r="AC3" s="583"/>
      <c r="AD3" s="583"/>
      <c r="AE3" s="583"/>
      <c r="AF3" s="583"/>
      <c r="AG3" s="583"/>
      <c r="AH3" s="583"/>
      <c r="AI3" s="583"/>
      <c r="AJ3" s="584"/>
      <c r="AK3" s="70"/>
      <c r="AL3" s="70"/>
      <c r="AM3" s="76"/>
    </row>
    <row r="4" spans="1:39" ht="17.25" customHeight="1">
      <c r="A4" s="629"/>
      <c r="B4" s="62"/>
      <c r="C4" s="164"/>
      <c r="D4" s="164"/>
      <c r="E4" s="95"/>
      <c r="F4" s="526"/>
      <c r="G4" s="527"/>
      <c r="H4" s="528"/>
      <c r="I4" s="93"/>
      <c r="J4" s="94"/>
      <c r="K4" s="95"/>
      <c r="L4" s="94"/>
      <c r="M4" s="552"/>
      <c r="N4" s="553"/>
      <c r="O4" s="553"/>
      <c r="P4" s="553"/>
      <c r="Q4" s="553"/>
      <c r="R4" s="553"/>
      <c r="S4" s="553"/>
      <c r="T4" s="553"/>
      <c r="U4" s="553"/>
      <c r="V4" s="553"/>
      <c r="W4" s="553"/>
      <c r="X4" s="553"/>
      <c r="Y4" s="553"/>
      <c r="Z4" s="553"/>
      <c r="AA4" s="553"/>
      <c r="AB4" s="553"/>
      <c r="AC4" s="553"/>
      <c r="AD4" s="553"/>
      <c r="AE4" s="553"/>
      <c r="AF4" s="553"/>
      <c r="AG4" s="553"/>
      <c r="AH4" s="553"/>
      <c r="AI4" s="553"/>
      <c r="AJ4" s="554"/>
      <c r="AK4" s="71"/>
      <c r="AL4" s="71"/>
      <c r="AM4" s="76"/>
    </row>
    <row r="5" spans="1:39" ht="17.25" customHeight="1">
      <c r="A5" s="629"/>
      <c r="B5" s="62"/>
      <c r="C5" s="164"/>
      <c r="D5" s="96"/>
      <c r="E5" s="97"/>
      <c r="F5" s="529"/>
      <c r="G5" s="530"/>
      <c r="H5" s="531"/>
      <c r="I5" s="98"/>
      <c r="J5" s="99"/>
      <c r="K5" s="100"/>
      <c r="L5" s="101"/>
      <c r="M5" s="552"/>
      <c r="N5" s="553"/>
      <c r="O5" s="553"/>
      <c r="P5" s="553"/>
      <c r="Q5" s="553"/>
      <c r="R5" s="553"/>
      <c r="S5" s="553"/>
      <c r="T5" s="553"/>
      <c r="U5" s="553"/>
      <c r="V5" s="553"/>
      <c r="W5" s="553"/>
      <c r="X5" s="553"/>
      <c r="Y5" s="553"/>
      <c r="Z5" s="553"/>
      <c r="AA5" s="553"/>
      <c r="AB5" s="553"/>
      <c r="AC5" s="553"/>
      <c r="AD5" s="553"/>
      <c r="AE5" s="553"/>
      <c r="AF5" s="553"/>
      <c r="AG5" s="553"/>
      <c r="AH5" s="553"/>
      <c r="AI5" s="553"/>
      <c r="AJ5" s="554"/>
      <c r="AK5" s="82"/>
      <c r="AL5" s="40"/>
      <c r="AM5" s="76"/>
    </row>
    <row r="6" spans="1:39" ht="17.25" customHeight="1">
      <c r="A6" s="629"/>
      <c r="B6" s="62"/>
      <c r="C6" s="164"/>
      <c r="D6" s="91"/>
      <c r="E6" s="98"/>
      <c r="F6" s="523"/>
      <c r="G6" s="524"/>
      <c r="H6" s="525"/>
      <c r="I6" s="102"/>
      <c r="J6" s="103"/>
      <c r="K6" s="104"/>
      <c r="L6" s="102"/>
      <c r="M6" s="582"/>
      <c r="N6" s="583"/>
      <c r="O6" s="583"/>
      <c r="P6" s="583"/>
      <c r="Q6" s="583"/>
      <c r="R6" s="583"/>
      <c r="S6" s="583"/>
      <c r="T6" s="583"/>
      <c r="U6" s="583"/>
      <c r="V6" s="583"/>
      <c r="W6" s="583"/>
      <c r="X6" s="583"/>
      <c r="Y6" s="583"/>
      <c r="Z6" s="583"/>
      <c r="AA6" s="583"/>
      <c r="AB6" s="583"/>
      <c r="AC6" s="583"/>
      <c r="AD6" s="583"/>
      <c r="AE6" s="583"/>
      <c r="AF6" s="583"/>
      <c r="AG6" s="583"/>
      <c r="AH6" s="583"/>
      <c r="AI6" s="583"/>
      <c r="AJ6" s="584"/>
      <c r="AK6" s="40"/>
      <c r="AL6" s="40"/>
      <c r="AM6" s="76"/>
    </row>
    <row r="7" spans="1:39" ht="17.25" customHeight="1">
      <c r="A7" s="629"/>
      <c r="B7" s="62"/>
      <c r="C7" s="164"/>
      <c r="D7" s="105"/>
      <c r="E7" s="106"/>
      <c r="F7" s="532"/>
      <c r="G7" s="533"/>
      <c r="H7" s="534"/>
      <c r="I7" s="104"/>
      <c r="J7" s="107"/>
      <c r="K7" s="108"/>
      <c r="L7" s="109"/>
      <c r="M7" s="582"/>
      <c r="N7" s="583"/>
      <c r="O7" s="583"/>
      <c r="P7" s="583"/>
      <c r="Q7" s="583"/>
      <c r="R7" s="583"/>
      <c r="S7" s="583"/>
      <c r="T7" s="583"/>
      <c r="U7" s="583"/>
      <c r="V7" s="583"/>
      <c r="W7" s="583"/>
      <c r="X7" s="583"/>
      <c r="Y7" s="583"/>
      <c r="Z7" s="583"/>
      <c r="AA7" s="583"/>
      <c r="AB7" s="583"/>
      <c r="AC7" s="583"/>
      <c r="AD7" s="583"/>
      <c r="AE7" s="583"/>
      <c r="AF7" s="583"/>
      <c r="AG7" s="583"/>
      <c r="AH7" s="583"/>
      <c r="AI7" s="583"/>
      <c r="AJ7" s="584"/>
      <c r="AK7" s="40"/>
      <c r="AL7" s="40"/>
      <c r="AM7" s="76"/>
    </row>
    <row r="8" spans="1:39" ht="17.25" customHeight="1">
      <c r="A8" s="629"/>
      <c r="B8" s="62"/>
      <c r="C8" s="164"/>
      <c r="D8" s="105"/>
      <c r="E8" s="106"/>
      <c r="F8" s="532"/>
      <c r="G8" s="533"/>
      <c r="H8" s="534"/>
      <c r="I8" s="104"/>
      <c r="J8" s="107"/>
      <c r="K8" s="108"/>
      <c r="L8" s="109"/>
      <c r="M8" s="582"/>
      <c r="N8" s="583"/>
      <c r="O8" s="583"/>
      <c r="P8" s="583"/>
      <c r="Q8" s="583"/>
      <c r="R8" s="583"/>
      <c r="S8" s="583"/>
      <c r="T8" s="583"/>
      <c r="U8" s="583"/>
      <c r="V8" s="583"/>
      <c r="W8" s="583"/>
      <c r="X8" s="583"/>
      <c r="Y8" s="583"/>
      <c r="Z8" s="583"/>
      <c r="AA8" s="583"/>
      <c r="AB8" s="583"/>
      <c r="AC8" s="583"/>
      <c r="AD8" s="583"/>
      <c r="AE8" s="583"/>
      <c r="AF8" s="583"/>
      <c r="AG8" s="583"/>
      <c r="AH8" s="583"/>
      <c r="AI8" s="583"/>
      <c r="AJ8" s="584"/>
      <c r="AK8" s="40"/>
      <c r="AL8" s="40"/>
      <c r="AM8" s="76"/>
    </row>
    <row r="9" spans="1:39" ht="17.25" customHeight="1">
      <c r="A9" s="629"/>
      <c r="B9" s="62"/>
      <c r="C9" s="164"/>
      <c r="D9" s="110"/>
      <c r="E9" s="111"/>
      <c r="F9" s="510"/>
      <c r="G9" s="535"/>
      <c r="H9" s="535"/>
      <c r="I9" s="112"/>
      <c r="J9" s="99"/>
      <c r="K9" s="101"/>
      <c r="L9" s="101"/>
      <c r="M9" s="601"/>
      <c r="N9" s="601"/>
      <c r="O9" s="601"/>
      <c r="P9" s="601"/>
      <c r="Q9" s="601"/>
      <c r="R9" s="601"/>
      <c r="S9" s="601"/>
      <c r="T9" s="601"/>
      <c r="U9" s="601"/>
      <c r="V9" s="601"/>
      <c r="W9" s="601"/>
      <c r="X9" s="601"/>
      <c r="Y9" s="601"/>
      <c r="Z9" s="601"/>
      <c r="AA9" s="601"/>
      <c r="AB9" s="601"/>
      <c r="AC9" s="601"/>
      <c r="AD9" s="601"/>
      <c r="AE9" s="601"/>
      <c r="AF9" s="601"/>
      <c r="AG9" s="601"/>
      <c r="AH9" s="601"/>
      <c r="AI9" s="601"/>
      <c r="AJ9" s="601"/>
      <c r="AK9" s="40"/>
      <c r="AL9" s="40"/>
      <c r="AM9" s="76"/>
    </row>
    <row r="10" spans="1:39" ht="17.25" customHeight="1">
      <c r="A10" s="629"/>
      <c r="B10" s="62"/>
      <c r="C10" s="164"/>
      <c r="D10" s="110"/>
      <c r="E10" s="111"/>
      <c r="F10" s="510"/>
      <c r="G10" s="535"/>
      <c r="H10" s="535"/>
      <c r="I10" s="113"/>
      <c r="J10" s="99"/>
      <c r="K10" s="101"/>
      <c r="L10" s="101"/>
      <c r="M10" s="601"/>
      <c r="N10" s="601"/>
      <c r="O10" s="601"/>
      <c r="P10" s="601"/>
      <c r="Q10" s="601"/>
      <c r="R10" s="601"/>
      <c r="S10" s="601"/>
      <c r="T10" s="601"/>
      <c r="U10" s="601"/>
      <c r="V10" s="601"/>
      <c r="W10" s="601"/>
      <c r="X10" s="601"/>
      <c r="Y10" s="601"/>
      <c r="Z10" s="601"/>
      <c r="AA10" s="601"/>
      <c r="AB10" s="601"/>
      <c r="AC10" s="601"/>
      <c r="AD10" s="601"/>
      <c r="AE10" s="601"/>
      <c r="AF10" s="601"/>
      <c r="AG10" s="601"/>
      <c r="AH10" s="601"/>
      <c r="AI10" s="601"/>
      <c r="AJ10" s="601"/>
      <c r="AK10" s="40"/>
      <c r="AL10" s="40"/>
      <c r="AM10" s="76"/>
    </row>
    <row r="11" spans="1:39" ht="17.25" customHeight="1">
      <c r="A11" s="629"/>
      <c r="B11" s="62"/>
      <c r="C11" s="164"/>
      <c r="D11" s="110"/>
      <c r="E11" s="111"/>
      <c r="F11" s="510"/>
      <c r="G11" s="510"/>
      <c r="H11" s="510"/>
      <c r="I11" s="113"/>
      <c r="J11" s="99"/>
      <c r="K11" s="101"/>
      <c r="L11" s="101"/>
      <c r="M11" s="601"/>
      <c r="N11" s="601"/>
      <c r="O11" s="601"/>
      <c r="P11" s="601"/>
      <c r="Q11" s="601"/>
      <c r="R11" s="601"/>
      <c r="S11" s="601"/>
      <c r="T11" s="601"/>
      <c r="U11" s="601"/>
      <c r="V11" s="601"/>
      <c r="W11" s="601"/>
      <c r="X11" s="601"/>
      <c r="Y11" s="601"/>
      <c r="Z11" s="601"/>
      <c r="AA11" s="601"/>
      <c r="AB11" s="601"/>
      <c r="AC11" s="601"/>
      <c r="AD11" s="601"/>
      <c r="AE11" s="601"/>
      <c r="AF11" s="601"/>
      <c r="AG11" s="601"/>
      <c r="AH11" s="601"/>
      <c r="AI11" s="601"/>
      <c r="AJ11" s="601"/>
      <c r="AK11" s="40"/>
      <c r="AL11" s="40"/>
      <c r="AM11" s="76"/>
    </row>
    <row r="12" spans="1:39" ht="17.25" customHeight="1">
      <c r="A12" s="629"/>
      <c r="B12" s="62"/>
      <c r="C12" s="164"/>
      <c r="D12" s="114"/>
      <c r="E12" s="115"/>
      <c r="F12" s="549"/>
      <c r="G12" s="550"/>
      <c r="H12" s="551"/>
      <c r="I12" s="116"/>
      <c r="J12" s="117"/>
      <c r="K12" s="118"/>
      <c r="L12" s="119"/>
      <c r="M12" s="590"/>
      <c r="N12" s="591"/>
      <c r="O12" s="591"/>
      <c r="P12" s="591"/>
      <c r="Q12" s="591"/>
      <c r="R12" s="591"/>
      <c r="S12" s="591"/>
      <c r="T12" s="591"/>
      <c r="U12" s="591"/>
      <c r="V12" s="591"/>
      <c r="W12" s="591"/>
      <c r="X12" s="591"/>
      <c r="Y12" s="591"/>
      <c r="Z12" s="591"/>
      <c r="AA12" s="591"/>
      <c r="AB12" s="591"/>
      <c r="AC12" s="591"/>
      <c r="AD12" s="591"/>
      <c r="AE12" s="591"/>
      <c r="AF12" s="591"/>
      <c r="AG12" s="591"/>
      <c r="AH12" s="591"/>
      <c r="AI12" s="591"/>
      <c r="AJ12" s="592"/>
      <c r="AK12" s="40"/>
      <c r="AL12" s="40"/>
      <c r="AM12" s="76"/>
    </row>
    <row r="13" spans="1:39" ht="17.25" customHeight="1">
      <c r="A13" s="629"/>
      <c r="B13" s="62"/>
      <c r="C13" s="164"/>
      <c r="D13" s="120"/>
      <c r="E13" s="97"/>
      <c r="F13" s="542"/>
      <c r="G13" s="543"/>
      <c r="H13" s="544"/>
      <c r="I13" s="121"/>
      <c r="J13" s="99"/>
      <c r="K13" s="100"/>
      <c r="L13" s="101"/>
      <c r="M13" s="582"/>
      <c r="N13" s="583"/>
      <c r="O13" s="583"/>
      <c r="P13" s="583"/>
      <c r="Q13" s="583"/>
      <c r="R13" s="583"/>
      <c r="S13" s="583"/>
      <c r="T13" s="583"/>
      <c r="U13" s="583"/>
      <c r="V13" s="583"/>
      <c r="W13" s="583"/>
      <c r="X13" s="583"/>
      <c r="Y13" s="583"/>
      <c r="Z13" s="583"/>
      <c r="AA13" s="583"/>
      <c r="AB13" s="583"/>
      <c r="AC13" s="583"/>
      <c r="AD13" s="583"/>
      <c r="AE13" s="583"/>
      <c r="AF13" s="583"/>
      <c r="AG13" s="583"/>
      <c r="AH13" s="583"/>
      <c r="AI13" s="583"/>
      <c r="AJ13" s="584"/>
      <c r="AK13" s="40"/>
      <c r="AL13" s="40"/>
      <c r="AM13" s="76"/>
    </row>
    <row r="14" spans="1:39" ht="17.25" customHeight="1">
      <c r="A14" s="629"/>
      <c r="B14" s="62"/>
      <c r="C14" s="164"/>
      <c r="D14" s="120"/>
      <c r="E14" s="97"/>
      <c r="F14" s="545"/>
      <c r="G14" s="530"/>
      <c r="H14" s="531"/>
      <c r="I14" s="121"/>
      <c r="J14" s="99"/>
      <c r="K14" s="100"/>
      <c r="L14" s="101"/>
      <c r="M14" s="552"/>
      <c r="N14" s="553"/>
      <c r="O14" s="553"/>
      <c r="P14" s="553"/>
      <c r="Q14" s="553"/>
      <c r="R14" s="553"/>
      <c r="S14" s="553"/>
      <c r="T14" s="553"/>
      <c r="U14" s="553"/>
      <c r="V14" s="553"/>
      <c r="W14" s="553"/>
      <c r="X14" s="553"/>
      <c r="Y14" s="553"/>
      <c r="Z14" s="553"/>
      <c r="AA14" s="553"/>
      <c r="AB14" s="553"/>
      <c r="AC14" s="553"/>
      <c r="AD14" s="553"/>
      <c r="AE14" s="553"/>
      <c r="AF14" s="553"/>
      <c r="AG14" s="553"/>
      <c r="AH14" s="553"/>
      <c r="AI14" s="553"/>
      <c r="AJ14" s="554"/>
      <c r="AK14" s="40"/>
      <c r="AL14" s="40"/>
      <c r="AM14" s="76"/>
    </row>
    <row r="15" spans="1:39" ht="17.25" customHeight="1">
      <c r="A15" s="629"/>
      <c r="B15" s="62"/>
      <c r="C15" s="164"/>
      <c r="D15" s="122"/>
      <c r="E15" s="123"/>
      <c r="F15" s="607"/>
      <c r="G15" s="550"/>
      <c r="H15" s="551"/>
      <c r="I15" s="116"/>
      <c r="J15" s="124"/>
      <c r="K15" s="125"/>
      <c r="L15" s="126"/>
      <c r="M15" s="555"/>
      <c r="N15" s="556"/>
      <c r="O15" s="556"/>
      <c r="P15" s="556"/>
      <c r="Q15" s="556"/>
      <c r="R15" s="556"/>
      <c r="S15" s="556"/>
      <c r="T15" s="556"/>
      <c r="U15" s="556"/>
      <c r="V15" s="556"/>
      <c r="W15" s="556"/>
      <c r="X15" s="556"/>
      <c r="Y15" s="556"/>
      <c r="Z15" s="556"/>
      <c r="AA15" s="556"/>
      <c r="AB15" s="556"/>
      <c r="AC15" s="556"/>
      <c r="AD15" s="556"/>
      <c r="AE15" s="556"/>
      <c r="AF15" s="556"/>
      <c r="AG15" s="556"/>
      <c r="AH15" s="556"/>
      <c r="AI15" s="556"/>
      <c r="AJ15" s="557"/>
      <c r="AK15" s="40"/>
      <c r="AL15" s="40"/>
      <c r="AM15" s="76"/>
    </row>
    <row r="16" spans="1:39" ht="17.25" customHeight="1">
      <c r="A16" s="629"/>
      <c r="B16" s="62"/>
      <c r="C16" s="164"/>
      <c r="D16" s="114"/>
      <c r="E16" s="115"/>
      <c r="F16" s="607"/>
      <c r="G16" s="550"/>
      <c r="H16" s="551"/>
      <c r="I16" s="121"/>
      <c r="J16" s="117"/>
      <c r="K16" s="118"/>
      <c r="L16" s="119"/>
      <c r="M16" s="552"/>
      <c r="N16" s="596"/>
      <c r="O16" s="596"/>
      <c r="P16" s="596"/>
      <c r="Q16" s="596"/>
      <c r="R16" s="596"/>
      <c r="S16" s="596"/>
      <c r="T16" s="596"/>
      <c r="U16" s="596"/>
      <c r="V16" s="596"/>
      <c r="W16" s="596"/>
      <c r="X16" s="596"/>
      <c r="Y16" s="596"/>
      <c r="Z16" s="596"/>
      <c r="AA16" s="596"/>
      <c r="AB16" s="596"/>
      <c r="AC16" s="596"/>
      <c r="AD16" s="596"/>
      <c r="AE16" s="596"/>
      <c r="AF16" s="596"/>
      <c r="AG16" s="596"/>
      <c r="AH16" s="596"/>
      <c r="AI16" s="596"/>
      <c r="AJ16" s="597"/>
      <c r="AK16" s="40"/>
      <c r="AL16" s="40"/>
      <c r="AM16" s="76"/>
    </row>
    <row r="17" spans="1:39" ht="17.25" customHeight="1">
      <c r="A17" s="629"/>
      <c r="B17" s="62"/>
      <c r="C17" s="164"/>
      <c r="D17" s="120"/>
      <c r="E17" s="97"/>
      <c r="F17" s="542"/>
      <c r="G17" s="543"/>
      <c r="H17" s="544"/>
      <c r="I17" s="121"/>
      <c r="J17" s="99"/>
      <c r="K17" s="100"/>
      <c r="L17" s="101"/>
      <c r="M17" s="602"/>
      <c r="N17" s="603"/>
      <c r="O17" s="603"/>
      <c r="P17" s="603"/>
      <c r="Q17" s="603"/>
      <c r="R17" s="603"/>
      <c r="S17" s="603"/>
      <c r="T17" s="603"/>
      <c r="U17" s="603"/>
      <c r="V17" s="603"/>
      <c r="W17" s="603"/>
      <c r="X17" s="603"/>
      <c r="Y17" s="603"/>
      <c r="Z17" s="603"/>
      <c r="AA17" s="603"/>
      <c r="AB17" s="603"/>
      <c r="AC17" s="603"/>
      <c r="AD17" s="603"/>
      <c r="AE17" s="603"/>
      <c r="AF17" s="603"/>
      <c r="AG17" s="603"/>
      <c r="AH17" s="603"/>
      <c r="AI17" s="603"/>
      <c r="AJ17" s="604"/>
      <c r="AK17" s="40"/>
      <c r="AL17" s="40"/>
      <c r="AM17" s="76"/>
    </row>
    <row r="18" spans="1:39" ht="17.25" customHeight="1">
      <c r="A18" s="629"/>
      <c r="B18" s="62"/>
      <c r="C18" s="164"/>
      <c r="D18" s="114"/>
      <c r="E18" s="115"/>
      <c r="F18" s="545"/>
      <c r="G18" s="530"/>
      <c r="H18" s="531"/>
      <c r="I18" s="116"/>
      <c r="J18" s="117"/>
      <c r="K18" s="118"/>
      <c r="L18" s="119"/>
      <c r="M18" s="602"/>
      <c r="N18" s="603"/>
      <c r="O18" s="603"/>
      <c r="P18" s="603"/>
      <c r="Q18" s="603"/>
      <c r="R18" s="603"/>
      <c r="S18" s="603"/>
      <c r="T18" s="603"/>
      <c r="U18" s="603"/>
      <c r="V18" s="603"/>
      <c r="W18" s="603"/>
      <c r="X18" s="603"/>
      <c r="Y18" s="603"/>
      <c r="Z18" s="603"/>
      <c r="AA18" s="603"/>
      <c r="AB18" s="603"/>
      <c r="AC18" s="603"/>
      <c r="AD18" s="603"/>
      <c r="AE18" s="603"/>
      <c r="AF18" s="603"/>
      <c r="AG18" s="603"/>
      <c r="AH18" s="603"/>
      <c r="AI18" s="603"/>
      <c r="AJ18" s="604"/>
      <c r="AK18" s="40"/>
      <c r="AL18" s="40"/>
      <c r="AM18" s="76"/>
    </row>
    <row r="19" spans="1:39" ht="17.25" customHeight="1">
      <c r="A19" s="629"/>
      <c r="B19" s="62"/>
      <c r="C19" s="164"/>
      <c r="D19" s="120"/>
      <c r="E19" s="97"/>
      <c r="F19" s="542"/>
      <c r="G19" s="543"/>
      <c r="H19" s="544"/>
      <c r="I19" s="121"/>
      <c r="J19" s="99"/>
      <c r="K19" s="100"/>
      <c r="L19" s="101"/>
      <c r="M19" s="602"/>
      <c r="N19" s="603"/>
      <c r="O19" s="603"/>
      <c r="P19" s="603"/>
      <c r="Q19" s="603"/>
      <c r="R19" s="603"/>
      <c r="S19" s="603"/>
      <c r="T19" s="603"/>
      <c r="U19" s="603"/>
      <c r="V19" s="603"/>
      <c r="W19" s="603"/>
      <c r="X19" s="603"/>
      <c r="Y19" s="603"/>
      <c r="Z19" s="603"/>
      <c r="AA19" s="603"/>
      <c r="AB19" s="603"/>
      <c r="AC19" s="603"/>
      <c r="AD19" s="603"/>
      <c r="AE19" s="603"/>
      <c r="AF19" s="603"/>
      <c r="AG19" s="603"/>
      <c r="AH19" s="603"/>
      <c r="AI19" s="603"/>
      <c r="AJ19" s="604"/>
      <c r="AK19" s="40"/>
      <c r="AL19" s="40"/>
      <c r="AM19" s="76"/>
    </row>
    <row r="20" spans="1:39" ht="17.25" customHeight="1">
      <c r="A20" s="629"/>
      <c r="B20" s="62"/>
      <c r="C20" s="164"/>
      <c r="D20" s="127"/>
      <c r="E20" s="128"/>
      <c r="F20" s="545"/>
      <c r="G20" s="530"/>
      <c r="H20" s="531"/>
      <c r="I20" s="116"/>
      <c r="J20" s="129"/>
      <c r="K20" s="130"/>
      <c r="L20" s="129"/>
      <c r="M20" s="576"/>
      <c r="N20" s="577"/>
      <c r="O20" s="577"/>
      <c r="P20" s="577"/>
      <c r="Q20" s="577"/>
      <c r="R20" s="577"/>
      <c r="S20" s="577"/>
      <c r="T20" s="577"/>
      <c r="U20" s="577"/>
      <c r="V20" s="577"/>
      <c r="W20" s="577"/>
      <c r="X20" s="577"/>
      <c r="Y20" s="577"/>
      <c r="Z20" s="577"/>
      <c r="AA20" s="577"/>
      <c r="AB20" s="577"/>
      <c r="AC20" s="577"/>
      <c r="AD20" s="577"/>
      <c r="AE20" s="577"/>
      <c r="AF20" s="577"/>
      <c r="AG20" s="577"/>
      <c r="AH20" s="577"/>
      <c r="AI20" s="577"/>
      <c r="AJ20" s="578"/>
      <c r="AK20" s="40"/>
      <c r="AL20" s="40"/>
      <c r="AM20" s="76"/>
    </row>
    <row r="21" spans="1:39" ht="17.25" customHeight="1">
      <c r="A21" s="629"/>
      <c r="B21" s="62"/>
      <c r="C21" s="164"/>
      <c r="D21" s="131"/>
      <c r="E21" s="132"/>
      <c r="F21" s="546"/>
      <c r="G21" s="547"/>
      <c r="H21" s="548"/>
      <c r="I21" s="133"/>
      <c r="J21" s="134"/>
      <c r="K21" s="135"/>
      <c r="L21" s="134"/>
      <c r="M21" s="593"/>
      <c r="N21" s="594"/>
      <c r="O21" s="594"/>
      <c r="P21" s="594"/>
      <c r="Q21" s="594"/>
      <c r="R21" s="594"/>
      <c r="S21" s="594"/>
      <c r="T21" s="594"/>
      <c r="U21" s="594"/>
      <c r="V21" s="594"/>
      <c r="W21" s="594"/>
      <c r="X21" s="594"/>
      <c r="Y21" s="594"/>
      <c r="Z21" s="594"/>
      <c r="AA21" s="594"/>
      <c r="AB21" s="594"/>
      <c r="AC21" s="594"/>
      <c r="AD21" s="594"/>
      <c r="AE21" s="594"/>
      <c r="AF21" s="594"/>
      <c r="AG21" s="594"/>
      <c r="AH21" s="594"/>
      <c r="AI21" s="594"/>
      <c r="AJ21" s="595"/>
      <c r="AK21" s="40"/>
      <c r="AL21" s="40"/>
      <c r="AM21" s="76"/>
    </row>
    <row r="22" spans="1:39" ht="17.25" customHeight="1">
      <c r="A22" s="629"/>
      <c r="B22" s="62"/>
      <c r="C22" s="164"/>
      <c r="D22" s="136"/>
      <c r="E22" s="137"/>
      <c r="F22" s="539"/>
      <c r="G22" s="540"/>
      <c r="H22" s="541"/>
      <c r="I22" s="138"/>
      <c r="J22" s="139"/>
      <c r="K22" s="140"/>
      <c r="L22" s="141"/>
      <c r="M22" s="593"/>
      <c r="N22" s="594"/>
      <c r="O22" s="594"/>
      <c r="P22" s="594"/>
      <c r="Q22" s="594"/>
      <c r="R22" s="594"/>
      <c r="S22" s="594"/>
      <c r="T22" s="594"/>
      <c r="U22" s="594"/>
      <c r="V22" s="594"/>
      <c r="W22" s="594"/>
      <c r="X22" s="594"/>
      <c r="Y22" s="594"/>
      <c r="Z22" s="594"/>
      <c r="AA22" s="594"/>
      <c r="AB22" s="594"/>
      <c r="AC22" s="594"/>
      <c r="AD22" s="594"/>
      <c r="AE22" s="594"/>
      <c r="AF22" s="594"/>
      <c r="AG22" s="594"/>
      <c r="AH22" s="594"/>
      <c r="AI22" s="594"/>
      <c r="AJ22" s="595"/>
      <c r="AK22" s="40"/>
      <c r="AL22" s="40"/>
      <c r="AM22" s="76"/>
    </row>
    <row r="23" spans="1:39" ht="17.25" customHeight="1">
      <c r="A23" s="629"/>
      <c r="B23" s="62"/>
      <c r="C23" s="164"/>
      <c r="D23" s="131"/>
      <c r="E23" s="132"/>
      <c r="F23" s="536"/>
      <c r="G23" s="537"/>
      <c r="H23" s="538"/>
      <c r="I23" s="142"/>
      <c r="J23" s="134"/>
      <c r="K23" s="135"/>
      <c r="L23" s="134"/>
      <c r="M23" s="593"/>
      <c r="N23" s="594"/>
      <c r="O23" s="594"/>
      <c r="P23" s="594"/>
      <c r="Q23" s="594"/>
      <c r="R23" s="594"/>
      <c r="S23" s="594"/>
      <c r="T23" s="594"/>
      <c r="U23" s="594"/>
      <c r="V23" s="594"/>
      <c r="W23" s="594"/>
      <c r="X23" s="594"/>
      <c r="Y23" s="594"/>
      <c r="Z23" s="594"/>
      <c r="AA23" s="594"/>
      <c r="AB23" s="594"/>
      <c r="AC23" s="594"/>
      <c r="AD23" s="594"/>
      <c r="AE23" s="594"/>
      <c r="AF23" s="594"/>
      <c r="AG23" s="594"/>
      <c r="AH23" s="594"/>
      <c r="AI23" s="594"/>
      <c r="AJ23" s="595"/>
      <c r="AK23" s="40"/>
      <c r="AL23" s="40"/>
      <c r="AM23" s="76"/>
    </row>
    <row r="24" spans="1:39" ht="17.25" customHeight="1">
      <c r="A24" s="629"/>
      <c r="B24" s="62"/>
      <c r="C24" s="164"/>
      <c r="D24" s="136"/>
      <c r="E24" s="137"/>
      <c r="F24" s="539"/>
      <c r="G24" s="540"/>
      <c r="H24" s="541"/>
      <c r="I24" s="143"/>
      <c r="J24" s="141"/>
      <c r="K24" s="140"/>
      <c r="L24" s="141"/>
      <c r="M24" s="593"/>
      <c r="N24" s="594"/>
      <c r="O24" s="594"/>
      <c r="P24" s="594"/>
      <c r="Q24" s="594"/>
      <c r="R24" s="594"/>
      <c r="S24" s="594"/>
      <c r="T24" s="594"/>
      <c r="U24" s="594"/>
      <c r="V24" s="594"/>
      <c r="W24" s="594"/>
      <c r="X24" s="594"/>
      <c r="Y24" s="594"/>
      <c r="Z24" s="594"/>
      <c r="AA24" s="594"/>
      <c r="AB24" s="594"/>
      <c r="AC24" s="594"/>
      <c r="AD24" s="594"/>
      <c r="AE24" s="594"/>
      <c r="AF24" s="594"/>
      <c r="AG24" s="594"/>
      <c r="AH24" s="594"/>
      <c r="AI24" s="594"/>
      <c r="AJ24" s="595"/>
      <c r="AK24" s="40"/>
      <c r="AL24" s="40"/>
      <c r="AM24" s="76"/>
    </row>
    <row r="25" spans="1:39" ht="17.25" customHeight="1">
      <c r="A25" s="629"/>
      <c r="B25" s="62"/>
      <c r="C25" s="164"/>
      <c r="D25" s="131"/>
      <c r="E25" s="132"/>
      <c r="F25" s="536"/>
      <c r="G25" s="537"/>
      <c r="H25" s="538"/>
      <c r="I25" s="142"/>
      <c r="J25" s="134"/>
      <c r="K25" s="135"/>
      <c r="L25" s="134"/>
      <c r="M25" s="593"/>
      <c r="N25" s="594"/>
      <c r="O25" s="594"/>
      <c r="P25" s="594"/>
      <c r="Q25" s="594"/>
      <c r="R25" s="594"/>
      <c r="S25" s="594"/>
      <c r="T25" s="594"/>
      <c r="U25" s="594"/>
      <c r="V25" s="594"/>
      <c r="W25" s="594"/>
      <c r="X25" s="594"/>
      <c r="Y25" s="594"/>
      <c r="Z25" s="594"/>
      <c r="AA25" s="594"/>
      <c r="AB25" s="594"/>
      <c r="AC25" s="594"/>
      <c r="AD25" s="594"/>
      <c r="AE25" s="594"/>
      <c r="AF25" s="594"/>
      <c r="AG25" s="594"/>
      <c r="AH25" s="594"/>
      <c r="AI25" s="594"/>
      <c r="AJ25" s="595"/>
      <c r="AK25" s="40"/>
      <c r="AL25" s="40"/>
      <c r="AM25" s="76"/>
    </row>
    <row r="26" spans="1:39" ht="17.25" customHeight="1">
      <c r="A26" s="629"/>
      <c r="B26" s="62"/>
      <c r="C26" s="164"/>
      <c r="D26" s="136"/>
      <c r="E26" s="137"/>
      <c r="F26" s="539"/>
      <c r="G26" s="540"/>
      <c r="H26" s="541"/>
      <c r="I26" s="143"/>
      <c r="J26" s="139"/>
      <c r="K26" s="140"/>
      <c r="L26" s="141"/>
      <c r="M26" s="593"/>
      <c r="N26" s="594"/>
      <c r="O26" s="594"/>
      <c r="P26" s="594"/>
      <c r="Q26" s="594"/>
      <c r="R26" s="594"/>
      <c r="S26" s="594"/>
      <c r="T26" s="594"/>
      <c r="U26" s="594"/>
      <c r="V26" s="594"/>
      <c r="W26" s="594"/>
      <c r="X26" s="594"/>
      <c r="Y26" s="594"/>
      <c r="Z26" s="594"/>
      <c r="AA26" s="594"/>
      <c r="AB26" s="594"/>
      <c r="AC26" s="594"/>
      <c r="AD26" s="594"/>
      <c r="AE26" s="594"/>
      <c r="AF26" s="594"/>
      <c r="AG26" s="594"/>
      <c r="AH26" s="594"/>
      <c r="AI26" s="594"/>
      <c r="AJ26" s="595"/>
      <c r="AK26" s="40"/>
      <c r="AL26" s="40"/>
      <c r="AM26" s="76"/>
    </row>
    <row r="27" spans="1:39" ht="17.25" customHeight="1">
      <c r="A27" s="629"/>
      <c r="B27" s="62"/>
      <c r="C27" s="164"/>
      <c r="D27" s="131"/>
      <c r="E27" s="132"/>
      <c r="F27" s="536"/>
      <c r="G27" s="537"/>
      <c r="H27" s="538"/>
      <c r="I27" s="142"/>
      <c r="J27" s="134"/>
      <c r="K27" s="135"/>
      <c r="L27" s="134"/>
      <c r="M27" s="593"/>
      <c r="N27" s="594"/>
      <c r="O27" s="594"/>
      <c r="P27" s="594"/>
      <c r="Q27" s="594"/>
      <c r="R27" s="594"/>
      <c r="S27" s="594"/>
      <c r="T27" s="594"/>
      <c r="U27" s="594"/>
      <c r="V27" s="594"/>
      <c r="W27" s="594"/>
      <c r="X27" s="594"/>
      <c r="Y27" s="594"/>
      <c r="Z27" s="594"/>
      <c r="AA27" s="594"/>
      <c r="AB27" s="594"/>
      <c r="AC27" s="594"/>
      <c r="AD27" s="594"/>
      <c r="AE27" s="594"/>
      <c r="AF27" s="594"/>
      <c r="AG27" s="594"/>
      <c r="AH27" s="594"/>
      <c r="AI27" s="594"/>
      <c r="AJ27" s="595"/>
      <c r="AK27" s="40"/>
      <c r="AL27" s="40"/>
      <c r="AM27" s="76"/>
    </row>
    <row r="28" spans="1:39" ht="17.25" customHeight="1">
      <c r="A28" s="629"/>
      <c r="B28" s="62"/>
      <c r="C28" s="164"/>
      <c r="D28" s="136"/>
      <c r="E28" s="137"/>
      <c r="F28" s="539"/>
      <c r="G28" s="540"/>
      <c r="H28" s="541"/>
      <c r="I28" s="143"/>
      <c r="J28" s="141"/>
      <c r="K28" s="140"/>
      <c r="L28" s="141"/>
      <c r="M28" s="593"/>
      <c r="N28" s="594"/>
      <c r="O28" s="594"/>
      <c r="P28" s="594"/>
      <c r="Q28" s="594"/>
      <c r="R28" s="594"/>
      <c r="S28" s="594"/>
      <c r="T28" s="594"/>
      <c r="U28" s="594"/>
      <c r="V28" s="594"/>
      <c r="W28" s="594"/>
      <c r="X28" s="594"/>
      <c r="Y28" s="594"/>
      <c r="Z28" s="594"/>
      <c r="AA28" s="594"/>
      <c r="AB28" s="594"/>
      <c r="AC28" s="594"/>
      <c r="AD28" s="594"/>
      <c r="AE28" s="594"/>
      <c r="AF28" s="594"/>
      <c r="AG28" s="594"/>
      <c r="AH28" s="594"/>
      <c r="AI28" s="594"/>
      <c r="AJ28" s="595"/>
      <c r="AK28" s="40"/>
      <c r="AL28" s="40"/>
      <c r="AM28" s="76"/>
    </row>
    <row r="29" spans="1:39" ht="17.25" customHeight="1">
      <c r="A29" s="629"/>
      <c r="B29" s="62"/>
      <c r="C29" s="164"/>
      <c r="D29" s="131"/>
      <c r="E29" s="132"/>
      <c r="F29" s="536"/>
      <c r="G29" s="537"/>
      <c r="H29" s="538"/>
      <c r="I29" s="142"/>
      <c r="J29" s="144"/>
      <c r="K29" s="135"/>
      <c r="L29" s="144"/>
      <c r="M29" s="593"/>
      <c r="N29" s="594"/>
      <c r="O29" s="594"/>
      <c r="P29" s="594"/>
      <c r="Q29" s="594"/>
      <c r="R29" s="594"/>
      <c r="S29" s="594"/>
      <c r="T29" s="594"/>
      <c r="U29" s="594"/>
      <c r="V29" s="594"/>
      <c r="W29" s="594"/>
      <c r="X29" s="594"/>
      <c r="Y29" s="594"/>
      <c r="Z29" s="594"/>
      <c r="AA29" s="594"/>
      <c r="AB29" s="594"/>
      <c r="AC29" s="594"/>
      <c r="AD29" s="594"/>
      <c r="AE29" s="594"/>
      <c r="AF29" s="594"/>
      <c r="AG29" s="594"/>
      <c r="AH29" s="594"/>
      <c r="AI29" s="594"/>
      <c r="AJ29" s="595"/>
      <c r="AK29" s="40"/>
      <c r="AL29" s="40"/>
      <c r="AM29" s="76"/>
    </row>
    <row r="30" spans="1:39" ht="17.25" customHeight="1">
      <c r="A30" s="630"/>
      <c r="B30" s="62"/>
      <c r="C30" s="164"/>
      <c r="D30" s="136"/>
      <c r="E30" s="137"/>
      <c r="F30" s="539"/>
      <c r="G30" s="540"/>
      <c r="H30" s="541"/>
      <c r="I30" s="143"/>
      <c r="J30" s="145"/>
      <c r="K30" s="140"/>
      <c r="L30" s="145"/>
      <c r="M30" s="631"/>
      <c r="N30" s="527"/>
      <c r="O30" s="527"/>
      <c r="P30" s="527"/>
      <c r="Q30" s="527"/>
      <c r="R30" s="527"/>
      <c r="S30" s="527"/>
      <c r="T30" s="527"/>
      <c r="U30" s="527"/>
      <c r="V30" s="527"/>
      <c r="W30" s="527"/>
      <c r="X30" s="527"/>
      <c r="Y30" s="527"/>
      <c r="Z30" s="527"/>
      <c r="AA30" s="527"/>
      <c r="AB30" s="527"/>
      <c r="AC30" s="527"/>
      <c r="AD30" s="527"/>
      <c r="AE30" s="527"/>
      <c r="AF30" s="527"/>
      <c r="AG30" s="527"/>
      <c r="AH30" s="527"/>
      <c r="AI30" s="527"/>
      <c r="AJ30" s="528"/>
      <c r="AK30" s="40"/>
      <c r="AL30" s="40"/>
      <c r="AM30" s="76"/>
    </row>
    <row r="31" spans="1:39" ht="17.25" customHeight="1">
      <c r="A31" s="520"/>
      <c r="B31" s="62"/>
      <c r="C31" s="164"/>
      <c r="D31" s="146"/>
      <c r="E31" s="132"/>
      <c r="F31" s="608"/>
      <c r="G31" s="609"/>
      <c r="H31" s="610"/>
      <c r="I31" s="132"/>
      <c r="J31" s="147"/>
      <c r="K31" s="148"/>
      <c r="L31" s="147"/>
      <c r="M31" s="598"/>
      <c r="N31" s="599"/>
      <c r="O31" s="599"/>
      <c r="P31" s="599"/>
      <c r="Q31" s="599"/>
      <c r="R31" s="599"/>
      <c r="S31" s="599"/>
      <c r="T31" s="599"/>
      <c r="U31" s="599"/>
      <c r="V31" s="599"/>
      <c r="W31" s="599"/>
      <c r="X31" s="599"/>
      <c r="Y31" s="599"/>
      <c r="Z31" s="599"/>
      <c r="AA31" s="599"/>
      <c r="AB31" s="599"/>
      <c r="AC31" s="599"/>
      <c r="AD31" s="599"/>
      <c r="AE31" s="599"/>
      <c r="AF31" s="599"/>
      <c r="AG31" s="599"/>
      <c r="AH31" s="599"/>
      <c r="AI31" s="599"/>
      <c r="AJ31" s="600"/>
      <c r="AK31" s="40"/>
      <c r="AL31" s="40"/>
      <c r="AM31" s="76"/>
    </row>
    <row r="32" spans="1:39" ht="17.25" customHeight="1">
      <c r="A32" s="521"/>
      <c r="B32" s="62"/>
      <c r="C32" s="164"/>
      <c r="D32" s="149"/>
      <c r="E32" s="137"/>
      <c r="F32" s="598"/>
      <c r="G32" s="599"/>
      <c r="H32" s="600"/>
      <c r="I32" s="137"/>
      <c r="J32" s="150"/>
      <c r="K32" s="143"/>
      <c r="L32" s="150"/>
      <c r="M32" s="598"/>
      <c r="N32" s="599"/>
      <c r="O32" s="599"/>
      <c r="P32" s="599"/>
      <c r="Q32" s="599"/>
      <c r="R32" s="599"/>
      <c r="S32" s="599"/>
      <c r="T32" s="599"/>
      <c r="U32" s="599"/>
      <c r="V32" s="599"/>
      <c r="W32" s="599"/>
      <c r="X32" s="599"/>
      <c r="Y32" s="599"/>
      <c r="Z32" s="599"/>
      <c r="AA32" s="599"/>
      <c r="AB32" s="599"/>
      <c r="AC32" s="599"/>
      <c r="AD32" s="599"/>
      <c r="AE32" s="599"/>
      <c r="AF32" s="599"/>
      <c r="AG32" s="599"/>
      <c r="AH32" s="599"/>
      <c r="AI32" s="599"/>
      <c r="AJ32" s="600"/>
      <c r="AK32" s="40"/>
      <c r="AL32" s="40"/>
      <c r="AM32" s="76"/>
    </row>
    <row r="33" spans="1:39" ht="17.25" customHeight="1">
      <c r="A33" s="521"/>
      <c r="B33" s="62"/>
      <c r="C33" s="164"/>
      <c r="D33" s="131"/>
      <c r="E33" s="132"/>
      <c r="F33" s="536"/>
      <c r="G33" s="537"/>
      <c r="H33" s="538"/>
      <c r="I33" s="142"/>
      <c r="J33" s="144"/>
      <c r="K33" s="151"/>
      <c r="L33" s="144"/>
      <c r="M33" s="593"/>
      <c r="N33" s="594"/>
      <c r="O33" s="594"/>
      <c r="P33" s="594"/>
      <c r="Q33" s="594"/>
      <c r="R33" s="594"/>
      <c r="S33" s="594"/>
      <c r="T33" s="594"/>
      <c r="U33" s="594"/>
      <c r="V33" s="594"/>
      <c r="W33" s="594"/>
      <c r="X33" s="594"/>
      <c r="Y33" s="594"/>
      <c r="Z33" s="594"/>
      <c r="AA33" s="594"/>
      <c r="AB33" s="594"/>
      <c r="AC33" s="594"/>
      <c r="AD33" s="594"/>
      <c r="AE33" s="594"/>
      <c r="AF33" s="594"/>
      <c r="AG33" s="594"/>
      <c r="AH33" s="594"/>
      <c r="AI33" s="594"/>
      <c r="AJ33" s="595"/>
      <c r="AK33" s="40"/>
      <c r="AL33" s="40"/>
      <c r="AM33" s="76"/>
    </row>
    <row r="34" spans="1:39" ht="17.25" customHeight="1">
      <c r="A34" s="521"/>
      <c r="B34" s="62"/>
      <c r="C34" s="164"/>
      <c r="D34" s="136"/>
      <c r="E34" s="137"/>
      <c r="F34" s="539"/>
      <c r="G34" s="540"/>
      <c r="H34" s="541"/>
      <c r="I34" s="143"/>
      <c r="J34" s="145"/>
      <c r="K34" s="152"/>
      <c r="L34" s="145"/>
      <c r="M34" s="631"/>
      <c r="N34" s="527"/>
      <c r="O34" s="527"/>
      <c r="P34" s="527"/>
      <c r="Q34" s="527"/>
      <c r="R34" s="527"/>
      <c r="S34" s="527"/>
      <c r="T34" s="527"/>
      <c r="U34" s="527"/>
      <c r="V34" s="527"/>
      <c r="W34" s="527"/>
      <c r="X34" s="527"/>
      <c r="Y34" s="527"/>
      <c r="Z34" s="527"/>
      <c r="AA34" s="527"/>
      <c r="AB34" s="527"/>
      <c r="AC34" s="527"/>
      <c r="AD34" s="527"/>
      <c r="AE34" s="527"/>
      <c r="AF34" s="527"/>
      <c r="AG34" s="527"/>
      <c r="AH34" s="527"/>
      <c r="AI34" s="527"/>
      <c r="AJ34" s="528"/>
      <c r="AK34" s="40"/>
      <c r="AL34" s="40"/>
      <c r="AM34" s="76"/>
    </row>
    <row r="35" spans="1:39" ht="17.25" customHeight="1">
      <c r="A35" s="521"/>
      <c r="B35" s="62"/>
      <c r="C35" s="164"/>
      <c r="D35" s="146"/>
      <c r="E35" s="132"/>
      <c r="F35" s="608"/>
      <c r="G35" s="609"/>
      <c r="H35" s="610"/>
      <c r="I35" s="132"/>
      <c r="J35" s="153"/>
      <c r="K35" s="132"/>
      <c r="L35" s="154"/>
      <c r="M35" s="598"/>
      <c r="N35" s="599"/>
      <c r="O35" s="599"/>
      <c r="P35" s="599"/>
      <c r="Q35" s="599"/>
      <c r="R35" s="599"/>
      <c r="S35" s="599"/>
      <c r="T35" s="599"/>
      <c r="U35" s="599"/>
      <c r="V35" s="599"/>
      <c r="W35" s="599"/>
      <c r="X35" s="599"/>
      <c r="Y35" s="599"/>
      <c r="Z35" s="599"/>
      <c r="AA35" s="599"/>
      <c r="AB35" s="599"/>
      <c r="AC35" s="599"/>
      <c r="AD35" s="599"/>
      <c r="AE35" s="599"/>
      <c r="AF35" s="599"/>
      <c r="AG35" s="599"/>
      <c r="AH35" s="599"/>
      <c r="AI35" s="599"/>
      <c r="AJ35" s="600"/>
      <c r="AK35" s="40"/>
      <c r="AL35" s="40"/>
      <c r="AM35" s="76"/>
    </row>
    <row r="36" spans="1:39" ht="17.25" customHeight="1">
      <c r="A36" s="521"/>
      <c r="B36" s="62"/>
      <c r="C36" s="164"/>
      <c r="D36" s="155"/>
      <c r="E36" s="137"/>
      <c r="F36" s="613"/>
      <c r="G36" s="614"/>
      <c r="H36" s="615"/>
      <c r="I36" s="156"/>
      <c r="J36" s="157"/>
      <c r="K36" s="137"/>
      <c r="L36" s="157"/>
      <c r="M36" s="598"/>
      <c r="N36" s="599"/>
      <c r="O36" s="599"/>
      <c r="P36" s="599"/>
      <c r="Q36" s="599"/>
      <c r="R36" s="599"/>
      <c r="S36" s="599"/>
      <c r="T36" s="599"/>
      <c r="U36" s="599"/>
      <c r="V36" s="599"/>
      <c r="W36" s="599"/>
      <c r="X36" s="599"/>
      <c r="Y36" s="599"/>
      <c r="Z36" s="599"/>
      <c r="AA36" s="599"/>
      <c r="AB36" s="599"/>
      <c r="AC36" s="599"/>
      <c r="AD36" s="599"/>
      <c r="AE36" s="599"/>
      <c r="AF36" s="599"/>
      <c r="AG36" s="599"/>
      <c r="AH36" s="599"/>
      <c r="AI36" s="599"/>
      <c r="AJ36" s="600"/>
      <c r="AK36" s="40"/>
      <c r="AL36" s="40"/>
      <c r="AM36" s="76"/>
    </row>
    <row r="37" spans="1:39" ht="17.25" customHeight="1">
      <c r="A37" s="521"/>
      <c r="B37" s="62"/>
      <c r="C37" s="164"/>
      <c r="D37" s="158"/>
      <c r="E37" s="132"/>
      <c r="F37" s="511"/>
      <c r="G37" s="512"/>
      <c r="H37" s="513"/>
      <c r="I37" s="159"/>
      <c r="J37" s="154"/>
      <c r="K37" s="132"/>
      <c r="L37" s="154"/>
      <c r="M37" s="598"/>
      <c r="N37" s="599"/>
      <c r="O37" s="599"/>
      <c r="P37" s="599"/>
      <c r="Q37" s="599"/>
      <c r="R37" s="599"/>
      <c r="S37" s="599"/>
      <c r="T37" s="599"/>
      <c r="U37" s="599"/>
      <c r="V37" s="599"/>
      <c r="W37" s="599"/>
      <c r="X37" s="599"/>
      <c r="Y37" s="599"/>
      <c r="Z37" s="599"/>
      <c r="AA37" s="599"/>
      <c r="AB37" s="599"/>
      <c r="AC37" s="599"/>
      <c r="AD37" s="599"/>
      <c r="AE37" s="599"/>
      <c r="AF37" s="599"/>
      <c r="AG37" s="599"/>
      <c r="AH37" s="599"/>
      <c r="AI37" s="599"/>
      <c r="AJ37" s="600"/>
      <c r="AK37" s="40"/>
      <c r="AL37" s="40"/>
      <c r="AM37" s="76"/>
    </row>
    <row r="38" spans="1:39" ht="17.25" customHeight="1">
      <c r="A38" s="521"/>
      <c r="B38" s="62"/>
      <c r="C38" s="164"/>
      <c r="D38" s="155"/>
      <c r="E38" s="137"/>
      <c r="F38" s="613"/>
      <c r="G38" s="614"/>
      <c r="H38" s="615"/>
      <c r="I38" s="156"/>
      <c r="J38" s="157"/>
      <c r="K38" s="137"/>
      <c r="L38" s="157"/>
      <c r="M38" s="598"/>
      <c r="N38" s="599"/>
      <c r="O38" s="599"/>
      <c r="P38" s="599"/>
      <c r="Q38" s="599"/>
      <c r="R38" s="599"/>
      <c r="S38" s="599"/>
      <c r="T38" s="599"/>
      <c r="U38" s="599"/>
      <c r="V38" s="599"/>
      <c r="W38" s="599"/>
      <c r="X38" s="599"/>
      <c r="Y38" s="599"/>
      <c r="Z38" s="599"/>
      <c r="AA38" s="599"/>
      <c r="AB38" s="599"/>
      <c r="AC38" s="599"/>
      <c r="AD38" s="599"/>
      <c r="AE38" s="599"/>
      <c r="AF38" s="599"/>
      <c r="AG38" s="599"/>
      <c r="AH38" s="599"/>
      <c r="AI38" s="599"/>
      <c r="AJ38" s="600"/>
      <c r="AK38" s="40"/>
      <c r="AL38" s="40"/>
      <c r="AM38" s="76"/>
    </row>
    <row r="39" spans="1:39" ht="17.25" customHeight="1">
      <c r="A39" s="521"/>
      <c r="B39" s="62"/>
      <c r="C39" s="164"/>
      <c r="D39" s="158"/>
      <c r="E39" s="132"/>
      <c r="F39" s="511"/>
      <c r="G39" s="512"/>
      <c r="H39" s="513"/>
      <c r="I39" s="159"/>
      <c r="J39" s="154"/>
      <c r="K39" s="132"/>
      <c r="L39" s="154"/>
      <c r="M39" s="598"/>
      <c r="N39" s="599"/>
      <c r="O39" s="599"/>
      <c r="P39" s="599"/>
      <c r="Q39" s="599"/>
      <c r="R39" s="599"/>
      <c r="S39" s="599"/>
      <c r="T39" s="599"/>
      <c r="U39" s="599"/>
      <c r="V39" s="599"/>
      <c r="W39" s="599"/>
      <c r="X39" s="599"/>
      <c r="Y39" s="599"/>
      <c r="Z39" s="599"/>
      <c r="AA39" s="599"/>
      <c r="AB39" s="599"/>
      <c r="AC39" s="599"/>
      <c r="AD39" s="599"/>
      <c r="AE39" s="599"/>
      <c r="AF39" s="599"/>
      <c r="AG39" s="599"/>
      <c r="AH39" s="599"/>
      <c r="AI39" s="599"/>
      <c r="AJ39" s="600"/>
      <c r="AK39" s="40"/>
      <c r="AL39" s="40"/>
      <c r="AM39" s="76"/>
    </row>
    <row r="40" spans="1:39" ht="17.25" customHeight="1">
      <c r="A40" s="521"/>
      <c r="B40" s="62"/>
      <c r="C40" s="164"/>
      <c r="D40" s="155"/>
      <c r="E40" s="137"/>
      <c r="F40" s="613"/>
      <c r="G40" s="614"/>
      <c r="H40" s="615"/>
      <c r="I40" s="156"/>
      <c r="J40" s="157"/>
      <c r="K40" s="137"/>
      <c r="L40" s="157"/>
      <c r="M40" s="598"/>
      <c r="N40" s="599"/>
      <c r="O40" s="599"/>
      <c r="P40" s="599"/>
      <c r="Q40" s="599"/>
      <c r="R40" s="599"/>
      <c r="S40" s="599"/>
      <c r="T40" s="599"/>
      <c r="U40" s="599"/>
      <c r="V40" s="599"/>
      <c r="W40" s="599"/>
      <c r="X40" s="599"/>
      <c r="Y40" s="599"/>
      <c r="Z40" s="599"/>
      <c r="AA40" s="599"/>
      <c r="AB40" s="599"/>
      <c r="AC40" s="599"/>
      <c r="AD40" s="599"/>
      <c r="AE40" s="599"/>
      <c r="AF40" s="599"/>
      <c r="AG40" s="599"/>
      <c r="AH40" s="599"/>
      <c r="AI40" s="599"/>
      <c r="AJ40" s="600"/>
      <c r="AK40" s="40"/>
      <c r="AL40" s="40"/>
      <c r="AM40" s="76"/>
    </row>
    <row r="41" spans="1:39" ht="17.25" customHeight="1">
      <c r="A41" s="521"/>
      <c r="B41" s="62"/>
      <c r="C41" s="164"/>
      <c r="D41" s="158"/>
      <c r="E41" s="132"/>
      <c r="F41" s="511"/>
      <c r="G41" s="512"/>
      <c r="H41" s="513"/>
      <c r="I41" s="159"/>
      <c r="J41" s="154"/>
      <c r="K41" s="132"/>
      <c r="L41" s="154"/>
      <c r="M41" s="598"/>
      <c r="N41" s="599"/>
      <c r="O41" s="599"/>
      <c r="P41" s="599"/>
      <c r="Q41" s="599"/>
      <c r="R41" s="599"/>
      <c r="S41" s="599"/>
      <c r="T41" s="599"/>
      <c r="U41" s="599"/>
      <c r="V41" s="599"/>
      <c r="W41" s="599"/>
      <c r="X41" s="599"/>
      <c r="Y41" s="599"/>
      <c r="Z41" s="599"/>
      <c r="AA41" s="599"/>
      <c r="AB41" s="599"/>
      <c r="AC41" s="599"/>
      <c r="AD41" s="599"/>
      <c r="AE41" s="599"/>
      <c r="AF41" s="599"/>
      <c r="AG41" s="599"/>
      <c r="AH41" s="599"/>
      <c r="AI41" s="599"/>
      <c r="AJ41" s="600"/>
      <c r="AK41" s="40"/>
      <c r="AL41" s="40"/>
      <c r="AM41" s="76"/>
    </row>
    <row r="42" spans="1:39" ht="17.25" customHeight="1">
      <c r="A42" s="521"/>
      <c r="B42" s="62"/>
      <c r="C42" s="164"/>
      <c r="D42" s="155"/>
      <c r="E42" s="137"/>
      <c r="F42" s="613"/>
      <c r="G42" s="614"/>
      <c r="H42" s="615"/>
      <c r="I42" s="156"/>
      <c r="J42" s="157"/>
      <c r="K42" s="137"/>
      <c r="L42" s="157"/>
      <c r="M42" s="598"/>
      <c r="N42" s="599"/>
      <c r="O42" s="599"/>
      <c r="P42" s="599"/>
      <c r="Q42" s="599"/>
      <c r="R42" s="599"/>
      <c r="S42" s="599"/>
      <c r="T42" s="599"/>
      <c r="U42" s="599"/>
      <c r="V42" s="599"/>
      <c r="W42" s="599"/>
      <c r="X42" s="599"/>
      <c r="Y42" s="599"/>
      <c r="Z42" s="599"/>
      <c r="AA42" s="599"/>
      <c r="AB42" s="599"/>
      <c r="AC42" s="599"/>
      <c r="AD42" s="599"/>
      <c r="AE42" s="599"/>
      <c r="AF42" s="599"/>
      <c r="AG42" s="599"/>
      <c r="AH42" s="599"/>
      <c r="AI42" s="599"/>
      <c r="AJ42" s="600"/>
      <c r="AK42" s="40"/>
      <c r="AL42" s="40"/>
      <c r="AM42" s="76"/>
    </row>
    <row r="43" spans="1:39" ht="17.25" customHeight="1">
      <c r="A43" s="521"/>
      <c r="B43" s="62"/>
      <c r="C43" s="164"/>
      <c r="D43" s="158"/>
      <c r="E43" s="132"/>
      <c r="F43" s="511"/>
      <c r="G43" s="512"/>
      <c r="H43" s="513"/>
      <c r="I43" s="159"/>
      <c r="J43" s="154"/>
      <c r="K43" s="132"/>
      <c r="L43" s="154"/>
      <c r="M43" s="598"/>
      <c r="N43" s="599"/>
      <c r="O43" s="599"/>
      <c r="P43" s="599"/>
      <c r="Q43" s="599"/>
      <c r="R43" s="599"/>
      <c r="S43" s="599"/>
      <c r="T43" s="599"/>
      <c r="U43" s="599"/>
      <c r="V43" s="599"/>
      <c r="W43" s="599"/>
      <c r="X43" s="599"/>
      <c r="Y43" s="599"/>
      <c r="Z43" s="599"/>
      <c r="AA43" s="599"/>
      <c r="AB43" s="599"/>
      <c r="AC43" s="599"/>
      <c r="AD43" s="599"/>
      <c r="AE43" s="599"/>
      <c r="AF43" s="599"/>
      <c r="AG43" s="599"/>
      <c r="AH43" s="599"/>
      <c r="AI43" s="599"/>
      <c r="AJ43" s="600"/>
      <c r="AK43" s="40"/>
      <c r="AL43" s="40"/>
      <c r="AM43" s="76"/>
    </row>
    <row r="44" spans="1:39" ht="17.25" customHeight="1">
      <c r="A44" s="521"/>
      <c r="B44" s="62"/>
      <c r="C44" s="164"/>
      <c r="D44" s="155"/>
      <c r="E44" s="137"/>
      <c r="F44" s="613"/>
      <c r="G44" s="614"/>
      <c r="H44" s="615"/>
      <c r="I44" s="156"/>
      <c r="J44" s="157"/>
      <c r="K44" s="137"/>
      <c r="L44" s="157"/>
      <c r="M44" s="598"/>
      <c r="N44" s="599"/>
      <c r="O44" s="599"/>
      <c r="P44" s="599"/>
      <c r="Q44" s="599"/>
      <c r="R44" s="599"/>
      <c r="S44" s="599"/>
      <c r="T44" s="599"/>
      <c r="U44" s="599"/>
      <c r="V44" s="599"/>
      <c r="W44" s="599"/>
      <c r="X44" s="599"/>
      <c r="Y44" s="599"/>
      <c r="Z44" s="599"/>
      <c r="AA44" s="599"/>
      <c r="AB44" s="599"/>
      <c r="AC44" s="599"/>
      <c r="AD44" s="599"/>
      <c r="AE44" s="599"/>
      <c r="AF44" s="599"/>
      <c r="AG44" s="599"/>
      <c r="AH44" s="599"/>
      <c r="AI44" s="599"/>
      <c r="AJ44" s="600"/>
      <c r="AK44" s="40"/>
      <c r="AL44" s="40"/>
      <c r="AM44" s="76"/>
    </row>
    <row r="45" spans="1:39" ht="17.25" customHeight="1">
      <c r="A45" s="521"/>
      <c r="B45" s="62"/>
      <c r="C45" s="164"/>
      <c r="D45" s="158"/>
      <c r="E45" s="132"/>
      <c r="F45" s="511"/>
      <c r="G45" s="512"/>
      <c r="H45" s="513"/>
      <c r="I45" s="159"/>
      <c r="J45" s="154"/>
      <c r="K45" s="132"/>
      <c r="L45" s="154"/>
      <c r="M45" s="598"/>
      <c r="N45" s="599"/>
      <c r="O45" s="599"/>
      <c r="P45" s="599"/>
      <c r="Q45" s="599"/>
      <c r="R45" s="599"/>
      <c r="S45" s="599"/>
      <c r="T45" s="599"/>
      <c r="U45" s="599"/>
      <c r="V45" s="599"/>
      <c r="W45" s="599"/>
      <c r="X45" s="599"/>
      <c r="Y45" s="599"/>
      <c r="Z45" s="599"/>
      <c r="AA45" s="599"/>
      <c r="AB45" s="599"/>
      <c r="AC45" s="599"/>
      <c r="AD45" s="599"/>
      <c r="AE45" s="599"/>
      <c r="AF45" s="599"/>
      <c r="AG45" s="599"/>
      <c r="AH45" s="599"/>
      <c r="AI45" s="599"/>
      <c r="AJ45" s="600"/>
      <c r="AK45" s="40"/>
      <c r="AL45" s="40"/>
      <c r="AM45" s="76"/>
    </row>
    <row r="46" spans="1:39" ht="17.25" customHeight="1">
      <c r="A46" s="521"/>
      <c r="B46" s="62"/>
      <c r="C46" s="164"/>
      <c r="D46" s="155"/>
      <c r="E46" s="137"/>
      <c r="F46" s="613"/>
      <c r="G46" s="614"/>
      <c r="H46" s="615"/>
      <c r="I46" s="156"/>
      <c r="J46" s="157"/>
      <c r="K46" s="137"/>
      <c r="L46" s="157"/>
      <c r="M46" s="598"/>
      <c r="N46" s="599"/>
      <c r="O46" s="599"/>
      <c r="P46" s="599"/>
      <c r="Q46" s="599"/>
      <c r="R46" s="599"/>
      <c r="S46" s="599"/>
      <c r="T46" s="599"/>
      <c r="U46" s="599"/>
      <c r="V46" s="599"/>
      <c r="W46" s="599"/>
      <c r="X46" s="599"/>
      <c r="Y46" s="599"/>
      <c r="Z46" s="599"/>
      <c r="AA46" s="599"/>
      <c r="AB46" s="599"/>
      <c r="AC46" s="599"/>
      <c r="AD46" s="599"/>
      <c r="AE46" s="599"/>
      <c r="AF46" s="599"/>
      <c r="AG46" s="599"/>
      <c r="AH46" s="599"/>
      <c r="AI46" s="599"/>
      <c r="AJ46" s="600"/>
      <c r="AK46" s="40"/>
      <c r="AL46" s="40"/>
      <c r="AM46" s="76"/>
    </row>
    <row r="47" spans="1:39" ht="17.25" customHeight="1">
      <c r="A47" s="521"/>
      <c r="B47" s="62"/>
      <c r="C47" s="164"/>
      <c r="D47" s="160"/>
      <c r="E47" s="161"/>
      <c r="F47" s="511"/>
      <c r="G47" s="512"/>
      <c r="H47" s="513"/>
      <c r="I47" s="162"/>
      <c r="J47" s="163"/>
      <c r="K47" s="161"/>
      <c r="L47" s="163"/>
      <c r="M47" s="598"/>
      <c r="N47" s="599"/>
      <c r="O47" s="599"/>
      <c r="P47" s="599"/>
      <c r="Q47" s="599"/>
      <c r="R47" s="599"/>
      <c r="S47" s="599"/>
      <c r="T47" s="599"/>
      <c r="U47" s="599"/>
      <c r="V47" s="599"/>
      <c r="W47" s="599"/>
      <c r="X47" s="599"/>
      <c r="Y47" s="599"/>
      <c r="Z47" s="599"/>
      <c r="AA47" s="599"/>
      <c r="AB47" s="599"/>
      <c r="AC47" s="599"/>
      <c r="AD47" s="599"/>
      <c r="AE47" s="599"/>
      <c r="AF47" s="599"/>
      <c r="AG47" s="599"/>
      <c r="AH47" s="599"/>
      <c r="AI47" s="599"/>
      <c r="AJ47" s="600"/>
      <c r="AK47" s="40"/>
      <c r="AL47" s="40"/>
      <c r="AM47" s="76"/>
    </row>
    <row r="48" spans="1:39" ht="17.25" customHeight="1">
      <c r="A48" s="521"/>
      <c r="B48" s="62"/>
      <c r="C48" s="144"/>
      <c r="D48" s="158"/>
      <c r="E48" s="132"/>
      <c r="F48" s="613"/>
      <c r="G48" s="614"/>
      <c r="H48" s="615"/>
      <c r="I48" s="159"/>
      <c r="J48" s="154"/>
      <c r="K48" s="132"/>
      <c r="L48" s="154"/>
      <c r="M48" s="598"/>
      <c r="N48" s="599"/>
      <c r="O48" s="599"/>
      <c r="P48" s="599"/>
      <c r="Q48" s="599"/>
      <c r="R48" s="599"/>
      <c r="S48" s="599"/>
      <c r="T48" s="599"/>
      <c r="U48" s="599"/>
      <c r="V48" s="599"/>
      <c r="W48" s="599"/>
      <c r="X48" s="599"/>
      <c r="Y48" s="599"/>
      <c r="Z48" s="599"/>
      <c r="AA48" s="599"/>
      <c r="AB48" s="599"/>
      <c r="AC48" s="599"/>
      <c r="AD48" s="599"/>
      <c r="AE48" s="599"/>
      <c r="AF48" s="599"/>
      <c r="AG48" s="599"/>
      <c r="AH48" s="599"/>
      <c r="AI48" s="599"/>
      <c r="AJ48" s="600"/>
      <c r="AK48" s="40"/>
      <c r="AL48" s="40"/>
      <c r="AM48" s="76"/>
    </row>
    <row r="49" spans="1:39" ht="17.25" customHeight="1">
      <c r="A49" s="521"/>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1"/>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1"/>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1"/>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8" t="s">
        <v>25</v>
      </c>
      <c r="AI52" s="588"/>
      <c r="AJ52" s="588"/>
      <c r="AK52" s="40"/>
      <c r="AL52" s="40"/>
      <c r="AM52" s="76"/>
    </row>
    <row r="53" spans="1:39" ht="17.25" customHeight="1">
      <c r="A53" s="521"/>
      <c r="B53" s="62"/>
      <c r="AH53" s="588"/>
      <c r="AI53" s="589"/>
      <c r="AJ53" s="589"/>
      <c r="AK53" s="83"/>
      <c r="AL53" s="40"/>
      <c r="AM53" s="76"/>
    </row>
    <row r="54" spans="1:39" ht="17.25" customHeight="1">
      <c r="A54" s="521"/>
      <c r="B54" s="62"/>
      <c r="D54" s="36"/>
      <c r="E54" s="36"/>
      <c r="F54" s="37"/>
      <c r="G54" s="38"/>
      <c r="H54" s="38"/>
      <c r="AB54" s="585" t="s">
        <v>1921</v>
      </c>
      <c r="AC54" s="586"/>
      <c r="AD54" s="586"/>
      <c r="AE54" s="586"/>
      <c r="AF54" s="586"/>
      <c r="AG54" s="586"/>
      <c r="AH54" s="586"/>
      <c r="AI54" s="586"/>
      <c r="AJ54" s="586"/>
      <c r="AK54" s="587"/>
      <c r="AL54" s="40"/>
      <c r="AM54" s="76"/>
    </row>
    <row r="55" spans="1:39" ht="17.25" customHeight="1">
      <c r="A55" s="521"/>
      <c r="B55" s="619"/>
      <c r="C55" s="620"/>
      <c r="D55" s="620"/>
      <c r="E55" s="620"/>
      <c r="F55" s="621"/>
      <c r="G55" s="39"/>
      <c r="H55" s="42" t="s">
        <v>0</v>
      </c>
      <c r="I55" s="43"/>
      <c r="J55" s="33"/>
      <c r="K55" s="33"/>
      <c r="L55" s="39"/>
      <c r="M55" s="565" t="s">
        <v>50</v>
      </c>
      <c r="N55" s="565"/>
      <c r="O55" s="567" t="str">
        <f>IF(ISNUMBER(VALUE(RIGHT(O57,4))),RIGHT(O57,4),"Stationsbezeichnung ungültig / invalid station name")</f>
        <v>1520</v>
      </c>
      <c r="P55" s="568"/>
      <c r="Q55" s="568"/>
      <c r="R55" s="568"/>
      <c r="S55" s="569"/>
      <c r="T55" s="573" t="s">
        <v>13</v>
      </c>
      <c r="U55" s="565" t="s">
        <v>2</v>
      </c>
      <c r="V55" s="565"/>
      <c r="W55" s="44"/>
      <c r="X55" s="515" t="s">
        <v>1924</v>
      </c>
      <c r="Y55" s="516"/>
      <c r="Z55" s="566" t="s">
        <v>3</v>
      </c>
      <c r="AA55" s="566"/>
      <c r="AB55" s="632">
        <v>2</v>
      </c>
      <c r="AD55" s="33"/>
      <c r="AE55" s="33"/>
      <c r="AF55" s="65" t="s">
        <v>11</v>
      </c>
      <c r="AG55" s="65"/>
      <c r="AH55" s="59"/>
      <c r="AI55" s="39"/>
      <c r="AJ55" s="67" t="s">
        <v>4</v>
      </c>
      <c r="AK55" s="67" t="s">
        <v>5</v>
      </c>
      <c r="AL55" s="39"/>
      <c r="AM55" s="76"/>
    </row>
    <row r="56" spans="1:39" ht="17.25" customHeight="1">
      <c r="A56" s="521"/>
      <c r="B56" s="622"/>
      <c r="C56" s="623"/>
      <c r="D56" s="623"/>
      <c r="E56" s="623"/>
      <c r="F56" s="624"/>
      <c r="G56" s="40"/>
      <c r="H56" s="616" t="s">
        <v>33</v>
      </c>
      <c r="I56" s="617"/>
      <c r="J56" s="617"/>
      <c r="K56" s="617"/>
      <c r="L56" s="618"/>
      <c r="M56" s="565" t="s">
        <v>15</v>
      </c>
      <c r="N56" s="565"/>
      <c r="O56" s="570"/>
      <c r="P56" s="571"/>
      <c r="Q56" s="571"/>
      <c r="R56" s="571"/>
      <c r="S56" s="572"/>
      <c r="T56" s="574"/>
      <c r="U56" s="565" t="s">
        <v>19</v>
      </c>
      <c r="V56" s="565"/>
      <c r="W56" s="45"/>
      <c r="X56" s="518"/>
      <c r="Y56" s="519"/>
      <c r="Z56" s="566" t="s">
        <v>1302</v>
      </c>
      <c r="AA56" s="566"/>
      <c r="AB56" s="633"/>
      <c r="AF56" s="72" t="s">
        <v>56</v>
      </c>
      <c r="AG56" s="73"/>
      <c r="AH56" s="60"/>
      <c r="AI56" s="40"/>
      <c r="AJ56" s="74" t="s">
        <v>54</v>
      </c>
      <c r="AK56" s="84" t="s">
        <v>46</v>
      </c>
      <c r="AL56" s="40"/>
      <c r="AM56" s="76"/>
    </row>
    <row r="57" spans="1:39" ht="17.25" customHeight="1">
      <c r="A57" s="521"/>
      <c r="B57" s="622"/>
      <c r="C57" s="623"/>
      <c r="D57" s="623"/>
      <c r="E57" s="623"/>
      <c r="F57" s="624"/>
      <c r="G57" s="41"/>
      <c r="H57" s="66"/>
      <c r="I57" s="63"/>
      <c r="J57" s="63"/>
      <c r="K57" s="63"/>
      <c r="L57" s="64"/>
      <c r="M57" s="565" t="s">
        <v>51</v>
      </c>
      <c r="N57" s="565"/>
      <c r="O57" s="514" t="s">
        <v>1931</v>
      </c>
      <c r="P57" s="515"/>
      <c r="Q57" s="515"/>
      <c r="R57" s="515"/>
      <c r="S57" s="516"/>
      <c r="T57" s="575"/>
      <c r="U57" s="565" t="s">
        <v>7</v>
      </c>
      <c r="V57" s="565"/>
      <c r="W57" s="47"/>
      <c r="X57" s="515" t="s">
        <v>1924</v>
      </c>
      <c r="Y57" s="516"/>
      <c r="Z57" s="506" t="s">
        <v>8</v>
      </c>
      <c r="AA57" s="561">
        <v>45013</v>
      </c>
      <c r="AB57" s="562"/>
      <c r="AC57" s="48"/>
      <c r="AD57" s="35"/>
      <c r="AE57" s="35"/>
      <c r="AF57" s="87"/>
      <c r="AG57" s="87"/>
      <c r="AH57" s="87"/>
      <c r="AI57" s="88"/>
      <c r="AJ57" s="85"/>
      <c r="AK57" s="40"/>
      <c r="AL57" s="40"/>
      <c r="AM57" s="76"/>
    </row>
    <row r="58" spans="1:39" ht="18" customHeight="1">
      <c r="A58" s="521"/>
      <c r="B58" s="622"/>
      <c r="C58" s="623"/>
      <c r="D58" s="623"/>
      <c r="E58" s="623"/>
      <c r="F58" s="624"/>
      <c r="G58" s="39"/>
      <c r="H58" s="42" t="s">
        <v>55</v>
      </c>
      <c r="I58" s="43"/>
      <c r="J58" s="33"/>
      <c r="K58" s="33"/>
      <c r="L58" s="39"/>
      <c r="M58" s="565" t="s">
        <v>52</v>
      </c>
      <c r="N58" s="565"/>
      <c r="O58" s="517"/>
      <c r="P58" s="518"/>
      <c r="Q58" s="518"/>
      <c r="R58" s="518"/>
      <c r="S58" s="519"/>
      <c r="T58" s="573" t="s">
        <v>53</v>
      </c>
      <c r="U58" s="565" t="s">
        <v>1919</v>
      </c>
      <c r="V58" s="565"/>
      <c r="W58" s="44"/>
      <c r="X58" s="518"/>
      <c r="Y58" s="519"/>
      <c r="Z58" s="506" t="s">
        <v>23</v>
      </c>
      <c r="AA58" s="563"/>
      <c r="AB58" s="564"/>
      <c r="AD58" s="33"/>
      <c r="AE58" s="33"/>
      <c r="AF58" s="605" t="s">
        <v>1928</v>
      </c>
      <c r="AG58" s="605"/>
      <c r="AH58" s="605"/>
      <c r="AI58" s="606"/>
      <c r="AJ58" s="611" t="s">
        <v>20</v>
      </c>
      <c r="AK58" s="611" t="s">
        <v>21</v>
      </c>
      <c r="AL58" s="40"/>
      <c r="AM58" s="76"/>
    </row>
    <row r="59" spans="1:39" ht="17.25" customHeight="1">
      <c r="A59" s="521"/>
      <c r="B59" s="625" t="s">
        <v>1702</v>
      </c>
      <c r="C59" s="626"/>
      <c r="D59" s="626"/>
      <c r="E59" s="626"/>
      <c r="F59" s="627"/>
      <c r="G59" s="40"/>
      <c r="H59" s="616" t="s">
        <v>48</v>
      </c>
      <c r="I59" s="617"/>
      <c r="J59" s="617"/>
      <c r="K59" s="617"/>
      <c r="L59" s="618"/>
      <c r="M59" s="565" t="s">
        <v>6</v>
      </c>
      <c r="N59" s="565"/>
      <c r="O59" s="514" t="s">
        <v>1920</v>
      </c>
      <c r="P59" s="515"/>
      <c r="Q59" s="515"/>
      <c r="R59" s="515"/>
      <c r="S59" s="516"/>
      <c r="T59" s="574"/>
      <c r="U59" s="565" t="s">
        <v>10</v>
      </c>
      <c r="V59" s="565"/>
      <c r="W59" s="45"/>
      <c r="X59" s="515" t="s">
        <v>1924</v>
      </c>
      <c r="Y59" s="516"/>
      <c r="Z59" t="s">
        <v>9</v>
      </c>
      <c r="AA59" s="514"/>
      <c r="AB59" s="516"/>
      <c r="AF59" s="86"/>
      <c r="AG59" s="87"/>
      <c r="AH59" s="87"/>
      <c r="AI59" s="88"/>
      <c r="AJ59" s="611"/>
      <c r="AK59" s="611"/>
      <c r="AL59" s="40"/>
      <c r="AM59" s="76"/>
    </row>
    <row r="60" spans="1:39" ht="17.25" customHeight="1">
      <c r="A60" s="522"/>
      <c r="B60" s="272"/>
      <c r="C60" s="273"/>
      <c r="D60" s="273"/>
      <c r="E60" s="273"/>
      <c r="F60" s="274"/>
      <c r="G60" s="41"/>
      <c r="H60" s="66"/>
      <c r="I60" s="63"/>
      <c r="J60" s="63"/>
      <c r="K60" s="63"/>
      <c r="L60" s="64"/>
      <c r="M60" s="565" t="s">
        <v>16</v>
      </c>
      <c r="N60" s="565"/>
      <c r="O60" s="517"/>
      <c r="P60" s="518"/>
      <c r="Q60" s="518"/>
      <c r="R60" s="518"/>
      <c r="S60" s="519"/>
      <c r="T60" s="575"/>
      <c r="U60" s="565" t="s">
        <v>1916</v>
      </c>
      <c r="V60" s="565"/>
      <c r="W60" s="47"/>
      <c r="X60" s="518"/>
      <c r="Y60" s="519"/>
      <c r="Z60" s="507" t="s">
        <v>1918</v>
      </c>
      <c r="AA60" s="517"/>
      <c r="AB60" s="519"/>
      <c r="AC60" s="48"/>
      <c r="AD60" s="35"/>
      <c r="AE60" s="35"/>
      <c r="AF60" s="89"/>
      <c r="AG60" s="89"/>
      <c r="AH60" s="89"/>
      <c r="AI60" s="90"/>
      <c r="AJ60" s="612"/>
      <c r="AK60" s="612"/>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57"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Y43" sqref="Y43"/>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8"/>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29"/>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29"/>
      <c r="B3" s="180"/>
      <c r="C3" s="181"/>
      <c r="D3" s="655"/>
      <c r="E3" s="655"/>
      <c r="F3" s="656"/>
      <c r="G3" s="656"/>
      <c r="H3" s="656"/>
      <c r="I3" s="656"/>
      <c r="J3" s="656"/>
      <c r="K3" s="656"/>
      <c r="L3" s="656"/>
      <c r="M3" s="656"/>
      <c r="N3" s="656"/>
      <c r="O3" s="656"/>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29"/>
      <c r="B4" s="180"/>
      <c r="C4" s="181"/>
      <c r="D4" s="655"/>
      <c r="E4" s="655"/>
      <c r="F4" s="656"/>
      <c r="G4" s="656"/>
      <c r="H4" s="656"/>
      <c r="I4" s="656"/>
      <c r="J4" s="656"/>
      <c r="K4" s="656"/>
      <c r="L4" s="656"/>
      <c r="M4" s="656"/>
      <c r="N4" s="656"/>
      <c r="O4" s="656"/>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29"/>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29"/>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29"/>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29"/>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29"/>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29"/>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29"/>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29"/>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29"/>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29"/>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29"/>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29"/>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29"/>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29"/>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29"/>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29"/>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29"/>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29"/>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29"/>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29"/>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29"/>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29"/>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29"/>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29"/>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29"/>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0"/>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7"/>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8"/>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8"/>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8"/>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8"/>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8"/>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8"/>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8"/>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8"/>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8"/>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8"/>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8"/>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8"/>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8"/>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8"/>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8"/>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8"/>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8"/>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8"/>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8"/>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8"/>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8"/>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8"/>
      <c r="B53" s="62"/>
      <c r="AG53" s="254" t="s">
        <v>32</v>
      </c>
      <c r="AH53" s="255">
        <f>MAX('Blatt 0'!C3:D48)</f>
        <v>0</v>
      </c>
      <c r="AI53" s="660"/>
      <c r="AJ53" s="661"/>
      <c r="AK53" s="662"/>
      <c r="AL53" s="40"/>
      <c r="AM53" s="76"/>
    </row>
    <row r="54" spans="1:39" ht="24.95" customHeight="1">
      <c r="A54" s="658"/>
      <c r="B54" s="62"/>
      <c r="D54" s="36"/>
      <c r="E54" s="36"/>
      <c r="F54" s="37"/>
      <c r="G54" s="38"/>
      <c r="H54" s="38"/>
      <c r="AB54" s="663" t="str">
        <f>'Blatt 0'!AB54:AK54</f>
        <v>VW 366  Tayron México</v>
      </c>
      <c r="AC54" s="664"/>
      <c r="AD54" s="664"/>
      <c r="AE54" s="664"/>
      <c r="AF54" s="664"/>
      <c r="AG54" s="664"/>
      <c r="AH54" s="664"/>
      <c r="AI54" s="664"/>
      <c r="AJ54" s="664"/>
      <c r="AK54" s="665"/>
      <c r="AL54" s="40"/>
      <c r="AM54" s="76"/>
    </row>
    <row r="55" spans="1:39" ht="17.25" customHeight="1">
      <c r="A55" s="658"/>
      <c r="B55" s="666"/>
      <c r="C55" s="667"/>
      <c r="D55" s="667"/>
      <c r="E55" s="667"/>
      <c r="F55" s="668"/>
      <c r="G55" s="39"/>
      <c r="H55" s="42" t="s">
        <v>0</v>
      </c>
      <c r="I55" s="43"/>
      <c r="J55" s="33"/>
      <c r="K55" s="33"/>
      <c r="L55" s="39"/>
      <c r="M55" s="643" t="s">
        <v>50</v>
      </c>
      <c r="N55" s="643"/>
      <c r="O55" s="672" t="str">
        <f>'Blatt 0'!O55:S56</f>
        <v>1520</v>
      </c>
      <c r="P55" s="672"/>
      <c r="Q55" s="672"/>
      <c r="R55" s="672"/>
      <c r="S55" s="672"/>
      <c r="T55" s="573" t="s">
        <v>13</v>
      </c>
      <c r="U55" s="643" t="s">
        <v>2</v>
      </c>
      <c r="V55" s="643"/>
      <c r="W55" s="174"/>
      <c r="X55" s="644" t="str">
        <f>'Blatt 0'!X55:Y56</f>
        <v>GME</v>
      </c>
      <c r="Y55" s="644"/>
      <c r="Z55" s="649" t="s">
        <v>3</v>
      </c>
      <c r="AA55" s="649"/>
      <c r="AB55" s="644">
        <f>'Blatt 0'!AB55:AB56</f>
        <v>2</v>
      </c>
      <c r="AD55" s="33"/>
      <c r="AE55" s="33"/>
      <c r="AF55" s="65" t="s">
        <v>11</v>
      </c>
      <c r="AG55" s="65"/>
      <c r="AH55" s="59"/>
      <c r="AI55" s="39"/>
      <c r="AJ55" s="67" t="s">
        <v>4</v>
      </c>
      <c r="AK55" s="67" t="s">
        <v>5</v>
      </c>
      <c r="AL55" s="39"/>
      <c r="AM55" s="76"/>
    </row>
    <row r="56" spans="1:39" ht="17.25" customHeight="1">
      <c r="A56" s="658"/>
      <c r="B56" s="669"/>
      <c r="C56" s="670"/>
      <c r="D56" s="670"/>
      <c r="E56" s="670"/>
      <c r="F56" s="671"/>
      <c r="G56" s="40"/>
      <c r="H56" s="616" t="s">
        <v>33</v>
      </c>
      <c r="I56" s="617"/>
      <c r="J56" s="617"/>
      <c r="K56" s="617"/>
      <c r="L56" s="618"/>
      <c r="M56" s="643" t="s">
        <v>15</v>
      </c>
      <c r="N56" s="643"/>
      <c r="O56" s="672"/>
      <c r="P56" s="672"/>
      <c r="Q56" s="672"/>
      <c r="R56" s="672"/>
      <c r="S56" s="672"/>
      <c r="T56" s="574"/>
      <c r="U56" s="643" t="s">
        <v>19</v>
      </c>
      <c r="V56" s="643"/>
      <c r="W56" s="175"/>
      <c r="X56" s="644"/>
      <c r="Y56" s="644"/>
      <c r="Z56" s="649" t="s">
        <v>1917</v>
      </c>
      <c r="AA56" s="649"/>
      <c r="AB56" s="644"/>
      <c r="AF56" s="72" t="s">
        <v>22</v>
      </c>
      <c r="AG56" s="73"/>
      <c r="AH56" s="60"/>
      <c r="AI56" s="40"/>
      <c r="AJ56" s="74" t="s">
        <v>54</v>
      </c>
      <c r="AK56" s="84" t="s">
        <v>46</v>
      </c>
      <c r="AL56" s="40"/>
      <c r="AM56" s="76"/>
    </row>
    <row r="57" spans="1:39" ht="17.25" customHeight="1">
      <c r="A57" s="658"/>
      <c r="B57" s="669"/>
      <c r="C57" s="670"/>
      <c r="D57" s="670"/>
      <c r="E57" s="670"/>
      <c r="F57" s="671"/>
      <c r="G57" s="41"/>
      <c r="H57" s="66"/>
      <c r="I57" s="63"/>
      <c r="J57" s="63"/>
      <c r="K57" s="63"/>
      <c r="L57" s="64"/>
      <c r="M57" s="643" t="s">
        <v>51</v>
      </c>
      <c r="N57" s="643"/>
      <c r="O57" s="650" t="str">
        <f>'Blatt 0'!O57:S58</f>
        <v>ST1520</v>
      </c>
      <c r="P57" s="650"/>
      <c r="Q57" s="650"/>
      <c r="R57" s="650"/>
      <c r="S57" s="650"/>
      <c r="T57" s="575"/>
      <c r="U57" s="643" t="s">
        <v>7</v>
      </c>
      <c r="V57" s="643"/>
      <c r="W57" s="176"/>
      <c r="X57" s="644" t="str">
        <f>'Blatt 0'!X57:Y58</f>
        <v>GME</v>
      </c>
      <c r="Y57" s="644"/>
      <c r="Z57" s="507" t="s">
        <v>8</v>
      </c>
      <c r="AA57" s="651">
        <f>IF(ISBLANK('Blatt 0'!AA57:AB58),"",'Blatt 0'!AA57:AB58)</f>
        <v>45013</v>
      </c>
      <c r="AB57" s="652"/>
      <c r="AC57" s="48"/>
      <c r="AD57" s="35"/>
      <c r="AE57" s="35"/>
      <c r="AF57" s="166"/>
      <c r="AG57" s="166"/>
      <c r="AH57" s="166"/>
      <c r="AI57" s="167"/>
      <c r="AJ57" s="85"/>
      <c r="AK57" s="40"/>
      <c r="AL57" s="40"/>
      <c r="AM57" s="76"/>
    </row>
    <row r="58" spans="1:39" ht="18" customHeight="1">
      <c r="A58" s="658"/>
      <c r="B58" s="669"/>
      <c r="C58" s="670"/>
      <c r="D58" s="670"/>
      <c r="E58" s="670"/>
      <c r="F58" s="671"/>
      <c r="G58" s="39"/>
      <c r="H58" s="42" t="s">
        <v>55</v>
      </c>
      <c r="I58" s="43"/>
      <c r="J58" s="33"/>
      <c r="K58" s="33"/>
      <c r="L58" s="39"/>
      <c r="M58" s="643" t="s">
        <v>52</v>
      </c>
      <c r="N58" s="643"/>
      <c r="O58" s="650"/>
      <c r="P58" s="650"/>
      <c r="Q58" s="650"/>
      <c r="R58" s="650"/>
      <c r="S58" s="650"/>
      <c r="T58" s="573" t="s">
        <v>53</v>
      </c>
      <c r="U58" s="643" t="s">
        <v>1919</v>
      </c>
      <c r="V58" s="643"/>
      <c r="W58" s="174"/>
      <c r="X58" s="644"/>
      <c r="Y58" s="644"/>
      <c r="Z58" s="507" t="s">
        <v>23</v>
      </c>
      <c r="AA58" s="653"/>
      <c r="AB58" s="654"/>
      <c r="AC58" s="173"/>
      <c r="AD58" s="33"/>
      <c r="AE58" s="33"/>
      <c r="AF58" s="634" t="str">
        <f>'Blatt 0'!AF58:AI58</f>
        <v>66-A53-96D 313785</v>
      </c>
      <c r="AG58" s="635"/>
      <c r="AH58" s="635"/>
      <c r="AI58" s="636"/>
      <c r="AJ58" s="611" t="s">
        <v>21</v>
      </c>
      <c r="AK58" s="611" t="s">
        <v>34</v>
      </c>
      <c r="AL58" s="40"/>
      <c r="AM58" s="76"/>
    </row>
    <row r="59" spans="1:39" ht="17.25" customHeight="1">
      <c r="A59" s="658"/>
      <c r="B59" s="637" t="str">
        <f>'Blatt 0'!B59:F60</f>
        <v>AKTIENGESELLSCHAFT</v>
      </c>
      <c r="C59" s="638"/>
      <c r="D59" s="638"/>
      <c r="E59" s="638"/>
      <c r="F59" s="639"/>
      <c r="G59" s="40"/>
      <c r="H59" s="616" t="s">
        <v>48</v>
      </c>
      <c r="I59" s="617"/>
      <c r="J59" s="617"/>
      <c r="K59" s="617"/>
      <c r="L59" s="618"/>
      <c r="M59" s="643" t="s">
        <v>6</v>
      </c>
      <c r="N59" s="643"/>
      <c r="O59" s="644" t="str">
        <f>'Blatt 0'!O59:S60</f>
        <v>VW 336</v>
      </c>
      <c r="P59" s="644"/>
      <c r="Q59" s="644"/>
      <c r="R59" s="644"/>
      <c r="S59" s="644"/>
      <c r="T59" s="574"/>
      <c r="U59" s="643" t="s">
        <v>10</v>
      </c>
      <c r="V59" s="643"/>
      <c r="W59" s="175"/>
      <c r="X59" s="644" t="str">
        <f>'Blatt 0'!X59:Y60</f>
        <v>GME</v>
      </c>
      <c r="Y59" s="644"/>
      <c r="Z59" s="507" t="s">
        <v>9</v>
      </c>
      <c r="AA59" s="645">
        <f>'Blatt 0'!AA59:AB60</f>
        <v>0</v>
      </c>
      <c r="AB59" s="646"/>
      <c r="AF59" s="168"/>
      <c r="AG59" s="166"/>
      <c r="AH59" s="166"/>
      <c r="AI59" s="167"/>
      <c r="AJ59" s="611"/>
      <c r="AK59" s="611"/>
      <c r="AL59" s="40"/>
      <c r="AM59" s="76"/>
    </row>
    <row r="60" spans="1:39" ht="17.25" customHeight="1">
      <c r="A60" s="659"/>
      <c r="B60" s="640"/>
      <c r="C60" s="641"/>
      <c r="D60" s="641"/>
      <c r="E60" s="641"/>
      <c r="F60" s="642"/>
      <c r="G60" s="41"/>
      <c r="H60" s="66"/>
      <c r="I60" s="63"/>
      <c r="J60" s="63"/>
      <c r="K60" s="63"/>
      <c r="L60" s="64"/>
      <c r="M60" s="643" t="s">
        <v>16</v>
      </c>
      <c r="N60" s="643"/>
      <c r="O60" s="644"/>
      <c r="P60" s="644"/>
      <c r="Q60" s="644"/>
      <c r="R60" s="644"/>
      <c r="S60" s="644"/>
      <c r="T60" s="575"/>
      <c r="U60" s="643" t="s">
        <v>1916</v>
      </c>
      <c r="V60" s="643"/>
      <c r="W60" s="176"/>
      <c r="X60" s="644"/>
      <c r="Y60" s="644"/>
      <c r="Z60" s="507" t="s">
        <v>1918</v>
      </c>
      <c r="AA60" s="647"/>
      <c r="AB60" s="648"/>
      <c r="AC60" s="48"/>
      <c r="AD60" s="35"/>
      <c r="AE60" s="35"/>
      <c r="AF60" s="63"/>
      <c r="AG60" s="63"/>
      <c r="AH60" s="63"/>
      <c r="AI60" s="64"/>
      <c r="AJ60" s="612"/>
      <c r="AK60" s="612"/>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tabSelected="1" showWhiteSpace="0" topLeftCell="A4" zoomScale="85" zoomScaleNormal="85" zoomScaleSheetLayoutView="40" zoomScalePageLayoutView="10" workbookViewId="0">
      <selection activeCell="W20" sqref="W20"/>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3" t="s">
        <v>1177</v>
      </c>
      <c r="BI1" s="673" t="s">
        <v>1182</v>
      </c>
      <c r="BJ1" s="673"/>
      <c r="BK1" s="673"/>
      <c r="BL1" s="673"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3"/>
      <c r="BI2" s="723"/>
      <c r="BJ2" s="723"/>
      <c r="BK2" s="673"/>
      <c r="BL2" s="673"/>
    </row>
    <row r="3" spans="1:79" ht="28.5" customHeight="1" thickBot="1">
      <c r="A3" s="921"/>
      <c r="B3" s="281"/>
      <c r="C3" s="1075" t="s">
        <v>35</v>
      </c>
      <c r="D3" s="1076"/>
      <c r="E3" s="1077"/>
      <c r="F3" s="743" t="str">
        <f>IF($E$6="DE","Karosseriebau","Bodyshop")</f>
        <v>Karosseriebau</v>
      </c>
      <c r="G3" s="744"/>
      <c r="H3" s="744"/>
      <c r="I3" s="744"/>
      <c r="J3" s="744"/>
      <c r="K3" s="744"/>
      <c r="L3" s="744"/>
      <c r="M3" s="744"/>
      <c r="N3" s="744"/>
      <c r="O3" s="744"/>
      <c r="P3" s="744"/>
      <c r="Q3" s="744"/>
      <c r="R3" s="744"/>
      <c r="S3" s="745"/>
      <c r="T3" s="951" t="s">
        <v>1274</v>
      </c>
      <c r="U3" s="952"/>
      <c r="V3" s="952"/>
      <c r="W3" s="952"/>
      <c r="X3" s="952"/>
      <c r="Y3" s="952"/>
      <c r="Z3" s="952"/>
      <c r="AA3" s="952"/>
      <c r="AB3" s="952"/>
      <c r="AC3" s="952"/>
      <c r="AD3" s="952"/>
      <c r="AE3" s="952"/>
      <c r="AF3" s="952"/>
      <c r="AG3" s="952"/>
      <c r="AH3" s="952"/>
      <c r="AI3" s="952"/>
      <c r="AJ3" s="952"/>
      <c r="AK3" s="725" t="s">
        <v>1910</v>
      </c>
      <c r="AL3" s="726"/>
      <c r="AM3" s="726"/>
      <c r="AN3" s="726"/>
      <c r="AO3" s="1022" t="str">
        <f>IF(AND($E$6="DE",BF44&gt;0),"Achtung: Sonderfräsmesser erforderlich, Rücksprache Prozessmethodik!",IF(AND($E$6="ENG",BF44&gt;0),"Warning: Special Tip-Dresser required, consult Process Methodology","  "))</f>
        <v xml:space="preserve">  </v>
      </c>
      <c r="AP3" s="1023"/>
      <c r="AQ3" s="1024"/>
      <c r="AR3" s="1024"/>
      <c r="AS3" s="1024"/>
      <c r="AT3" s="1024"/>
      <c r="AU3" s="1024"/>
      <c r="AV3" s="1024"/>
      <c r="AW3" s="1024"/>
      <c r="AX3" s="1024"/>
      <c r="AY3" s="1024"/>
      <c r="AZ3" s="1024"/>
      <c r="BA3" s="1024"/>
      <c r="BB3" s="1025"/>
      <c r="BC3" s="282"/>
      <c r="BD3" s="282"/>
      <c r="BE3" s="282"/>
      <c r="BF3" s="282"/>
      <c r="BG3" s="283"/>
      <c r="BH3" s="283"/>
      <c r="BI3" s="284" t="s">
        <v>1188</v>
      </c>
      <c r="BJ3" s="285"/>
      <c r="BL3" s="286"/>
    </row>
    <row r="4" spans="1:79" ht="30.75" customHeight="1">
      <c r="A4" s="922"/>
      <c r="B4" s="281"/>
      <c r="C4" s="773" t="str">
        <f>IF($E$6="DE","Punktschweißen","Spot Welding")</f>
        <v>Punktschweißen</v>
      </c>
      <c r="D4" s="774"/>
      <c r="E4" s="774"/>
      <c r="F4" s="774"/>
      <c r="G4" s="774"/>
      <c r="H4" s="774"/>
      <c r="I4" s="774"/>
      <c r="J4" s="774"/>
      <c r="K4" s="774"/>
      <c r="L4" s="775"/>
      <c r="M4" s="1048" t="str">
        <f>IF($E$6="DE","Zeichnungsstand:","Dwg release:")</f>
        <v>Zeichnungsstand:</v>
      </c>
      <c r="N4" s="1049"/>
      <c r="O4" s="1050"/>
      <c r="P4" s="1052">
        <v>45013</v>
      </c>
      <c r="Q4" s="1053"/>
      <c r="R4" s="1053"/>
      <c r="S4" s="1054"/>
      <c r="T4" s="717"/>
      <c r="U4" s="718"/>
      <c r="V4" s="718"/>
      <c r="W4" s="718"/>
      <c r="X4" s="718"/>
      <c r="Y4" s="718"/>
      <c r="Z4" s="718"/>
      <c r="AA4" s="718"/>
      <c r="AB4" s="718"/>
      <c r="AC4" s="718"/>
      <c r="AD4" s="718"/>
      <c r="AE4" s="718"/>
      <c r="AF4" s="718"/>
      <c r="AG4" s="719"/>
      <c r="AH4" s="956" t="str">
        <f>IF($E$6="DE","Elektrodenkappe","Electrode Cap")</f>
        <v>Elektrodenkappe</v>
      </c>
      <c r="AI4" s="957"/>
      <c r="AJ4" s="958"/>
      <c r="AK4" s="715" t="str">
        <f>X46</f>
        <v>39D 1978-2</v>
      </c>
      <c r="AL4" s="715"/>
      <c r="AM4" s="715"/>
      <c r="AN4" s="715"/>
      <c r="AO4" s="1026"/>
      <c r="AP4" s="1027"/>
      <c r="AQ4" s="1028"/>
      <c r="AR4" s="1028"/>
      <c r="AS4" s="1028"/>
      <c r="AT4" s="1028"/>
      <c r="AU4" s="1028"/>
      <c r="AV4" s="1028"/>
      <c r="AW4" s="1028"/>
      <c r="AX4" s="1028"/>
      <c r="AY4" s="1028"/>
      <c r="AZ4" s="1028"/>
      <c r="BA4" s="1028"/>
      <c r="BB4" s="1029"/>
      <c r="BC4" s="282"/>
      <c r="BD4" s="282"/>
      <c r="BE4" s="282"/>
      <c r="BF4" s="282"/>
      <c r="BG4" s="287"/>
      <c r="BH4" s="288" t="s">
        <v>1175</v>
      </c>
      <c r="BI4" s="288" t="s">
        <v>1186</v>
      </c>
      <c r="BJ4" s="289"/>
      <c r="BL4" s="290" t="s">
        <v>1276</v>
      </c>
    </row>
    <row r="5" spans="1:79" ht="30.75" customHeight="1" thickBot="1">
      <c r="A5" s="922"/>
      <c r="B5" s="281"/>
      <c r="C5" s="1034"/>
      <c r="D5" s="1035"/>
      <c r="E5" s="1035"/>
      <c r="F5" s="1035"/>
      <c r="G5" s="1035"/>
      <c r="H5" s="1035"/>
      <c r="I5" s="1035"/>
      <c r="J5" s="1035"/>
      <c r="K5" s="1035"/>
      <c r="L5" s="1036"/>
      <c r="M5" s="844"/>
      <c r="N5" s="845"/>
      <c r="O5" s="1051"/>
      <c r="P5" s="1055"/>
      <c r="Q5" s="1055"/>
      <c r="R5" s="1055"/>
      <c r="S5" s="1056"/>
      <c r="T5" s="720"/>
      <c r="U5" s="721"/>
      <c r="V5" s="721"/>
      <c r="W5" s="721"/>
      <c r="X5" s="721"/>
      <c r="Y5" s="721"/>
      <c r="Z5" s="721"/>
      <c r="AA5" s="721"/>
      <c r="AB5" s="721"/>
      <c r="AC5" s="721"/>
      <c r="AD5" s="721"/>
      <c r="AE5" s="721"/>
      <c r="AF5" s="721"/>
      <c r="AG5" s="722"/>
      <c r="AH5" s="959"/>
      <c r="AI5" s="960"/>
      <c r="AJ5" s="961"/>
      <c r="AK5" s="716"/>
      <c r="AL5" s="716"/>
      <c r="AM5" s="716"/>
      <c r="AN5" s="716"/>
      <c r="AO5" s="1026"/>
      <c r="AP5" s="1027"/>
      <c r="AQ5" s="1028"/>
      <c r="AR5" s="1028"/>
      <c r="AS5" s="1028"/>
      <c r="AT5" s="1028"/>
      <c r="AU5" s="1028"/>
      <c r="AV5" s="1028"/>
      <c r="AW5" s="1028"/>
      <c r="AX5" s="1028"/>
      <c r="AY5" s="1028"/>
      <c r="AZ5" s="1028"/>
      <c r="BA5" s="1028"/>
      <c r="BB5" s="1029"/>
      <c r="BC5" s="282"/>
      <c r="BD5" s="282"/>
      <c r="BE5" s="282"/>
      <c r="BF5" s="282"/>
      <c r="BH5" s="291" t="s">
        <v>1176</v>
      </c>
      <c r="BI5" s="288" t="s">
        <v>1187</v>
      </c>
      <c r="BJ5" s="289"/>
      <c r="BL5" s="289" t="s">
        <v>1277</v>
      </c>
      <c r="BO5" s="292" t="s">
        <v>1185</v>
      </c>
    </row>
    <row r="6" spans="1:79" ht="24" customHeight="1">
      <c r="A6" s="922"/>
      <c r="B6" s="281"/>
      <c r="C6" s="748" t="s">
        <v>1174</v>
      </c>
      <c r="D6" s="749"/>
      <c r="E6" s="754" t="s">
        <v>1175</v>
      </c>
      <c r="F6" s="762" t="s">
        <v>1183</v>
      </c>
      <c r="G6" s="757" t="s">
        <v>1186</v>
      </c>
      <c r="H6" s="764" t="str">
        <f>IF(G6="SPZ","Servopneumatische Schweißzange/ Servopneumatic Welding Gun",IF(G6="RZ","Roboterschweißzange/ Robot Welding Gun","Zangentyp auswählen! /                                                     Choose Gun Type!"))</f>
        <v>Servopneumatische Schweißzange/ Servopneumatic Welding Gun</v>
      </c>
      <c r="I6" s="765"/>
      <c r="J6" s="765"/>
      <c r="K6" s="765"/>
      <c r="L6" s="766"/>
      <c r="M6" s="1039" t="s">
        <v>1926</v>
      </c>
      <c r="N6" s="1040"/>
      <c r="O6" s="1040"/>
      <c r="P6" s="1040"/>
      <c r="Q6" s="1040"/>
      <c r="R6" s="1040"/>
      <c r="S6" s="1041"/>
      <c r="T6" s="1060" t="s">
        <v>1927</v>
      </c>
      <c r="U6" s="1060"/>
      <c r="V6" s="1060"/>
      <c r="W6" s="1060"/>
      <c r="X6" s="1060"/>
      <c r="Y6" s="1060"/>
      <c r="Z6" s="1060"/>
      <c r="AA6" s="1060"/>
      <c r="AB6" s="1060"/>
      <c r="AC6" s="1060"/>
      <c r="AD6" s="1060"/>
      <c r="AE6" s="1060"/>
      <c r="AF6" s="1060"/>
      <c r="AG6" s="1061"/>
      <c r="AH6" s="703" t="str">
        <f>IF($E$6="DE","Sonderelektrode (manuelle Auswahl)","Special Electrode Cap (manual selection)")</f>
        <v>Sonderelektrode (manuelle Auswahl)</v>
      </c>
      <c r="AI6" s="704"/>
      <c r="AJ6" s="705"/>
      <c r="AK6" s="728" t="str">
        <f>IF($E$6="DE","Sonderfräsmesser (manuelle Auswahl)","Special Tip-Dresser (manual selection)")</f>
        <v>Sonderfräsmesser (manuelle Auswahl)</v>
      </c>
      <c r="AL6" s="729"/>
      <c r="AM6" s="729"/>
      <c r="AN6" s="729"/>
      <c r="AO6" s="1030" t="str">
        <f>IF(OR(COUNTBLANK(AH8:AN8)&lt;7,BF44&gt;0),IF(E6="DE","Sonderfräsmesser / -elektroden genehmigt durch:", "Special Tip-Dresser / Electrodes approved by:"),"")</f>
        <v/>
      </c>
      <c r="AP6" s="1031"/>
      <c r="AQ6" s="1032"/>
      <c r="AR6" s="1032"/>
      <c r="AS6" s="1032"/>
      <c r="AT6" s="1032"/>
      <c r="AU6" s="1032"/>
      <c r="AV6" s="1032"/>
      <c r="AW6" s="1032"/>
      <c r="AX6" s="1032"/>
      <c r="AY6" s="1032"/>
      <c r="AZ6" s="1032"/>
      <c r="BA6" s="1032"/>
      <c r="BB6" s="1033"/>
      <c r="BC6" s="282"/>
      <c r="BD6" s="282"/>
      <c r="BE6" s="282"/>
      <c r="BF6" s="282"/>
      <c r="BO6" s="292" t="s">
        <v>1184</v>
      </c>
    </row>
    <row r="7" spans="1:79" ht="12" customHeight="1">
      <c r="A7" s="922"/>
      <c r="B7" s="281"/>
      <c r="C7" s="750"/>
      <c r="D7" s="751"/>
      <c r="E7" s="755"/>
      <c r="F7" s="763"/>
      <c r="G7" s="758"/>
      <c r="H7" s="767"/>
      <c r="I7" s="768"/>
      <c r="J7" s="768"/>
      <c r="K7" s="768"/>
      <c r="L7" s="769"/>
      <c r="M7" s="1042"/>
      <c r="N7" s="1043"/>
      <c r="O7" s="1043"/>
      <c r="P7" s="1043"/>
      <c r="Q7" s="1043"/>
      <c r="R7" s="1043"/>
      <c r="S7" s="1044"/>
      <c r="T7" s="1062"/>
      <c r="U7" s="1062"/>
      <c r="V7" s="1062"/>
      <c r="W7" s="1062"/>
      <c r="X7" s="1062"/>
      <c r="Y7" s="1062"/>
      <c r="Z7" s="1062"/>
      <c r="AA7" s="1062"/>
      <c r="AB7" s="1062"/>
      <c r="AC7" s="1062"/>
      <c r="AD7" s="1062"/>
      <c r="AE7" s="1062"/>
      <c r="AF7" s="1062"/>
      <c r="AG7" s="1063"/>
      <c r="AH7" s="706"/>
      <c r="AI7" s="707"/>
      <c r="AJ7" s="708"/>
      <c r="AK7" s="293" t="s">
        <v>1178</v>
      </c>
      <c r="AL7" s="294" t="s">
        <v>1180</v>
      </c>
      <c r="AM7" s="294" t="s">
        <v>1179</v>
      </c>
      <c r="AN7" s="498" t="s">
        <v>1181</v>
      </c>
      <c r="AO7" s="1030"/>
      <c r="AP7" s="1031"/>
      <c r="AQ7" s="1032"/>
      <c r="AR7" s="1032"/>
      <c r="AS7" s="1032"/>
      <c r="AT7" s="1032"/>
      <c r="AU7" s="1032"/>
      <c r="AV7" s="1032"/>
      <c r="AW7" s="1032"/>
      <c r="AX7" s="1032"/>
      <c r="AY7" s="1032"/>
      <c r="AZ7" s="1032"/>
      <c r="BA7" s="1032"/>
      <c r="BB7" s="1033"/>
      <c r="BC7" s="282"/>
      <c r="BD7" s="282"/>
      <c r="BE7" s="282"/>
      <c r="BF7" s="282"/>
      <c r="BI7" s="279" t="s">
        <v>1751</v>
      </c>
      <c r="BJ7" s="279" t="s">
        <v>1723</v>
      </c>
    </row>
    <row r="8" spans="1:79" ht="45.75" customHeight="1" thickBot="1">
      <c r="A8" s="922"/>
      <c r="B8" s="281"/>
      <c r="C8" s="752"/>
      <c r="D8" s="753"/>
      <c r="E8" s="756"/>
      <c r="F8" s="295" t="str">
        <f>IF(E6="DE","Doppelzange (J/N)","Twin-Spot-Gun (J=Yes/N=No)")</f>
        <v>Doppelzange (J/N)</v>
      </c>
      <c r="G8" s="439" t="s">
        <v>1925</v>
      </c>
      <c r="H8" s="759"/>
      <c r="I8" s="760"/>
      <c r="J8" s="760"/>
      <c r="K8" s="760"/>
      <c r="L8" s="761"/>
      <c r="M8" s="1045"/>
      <c r="N8" s="1046"/>
      <c r="O8" s="1046"/>
      <c r="P8" s="1046"/>
      <c r="Q8" s="1046"/>
      <c r="R8" s="1046"/>
      <c r="S8" s="1047"/>
      <c r="T8" s="1064"/>
      <c r="U8" s="1064"/>
      <c r="V8" s="1064"/>
      <c r="W8" s="1064"/>
      <c r="X8" s="1064"/>
      <c r="Y8" s="1064"/>
      <c r="Z8" s="1064"/>
      <c r="AA8" s="1064"/>
      <c r="AB8" s="1064"/>
      <c r="AC8" s="1064"/>
      <c r="AD8" s="1064"/>
      <c r="AE8" s="1064"/>
      <c r="AF8" s="1064"/>
      <c r="AG8" s="1065"/>
      <c r="AH8" s="689"/>
      <c r="AI8" s="690"/>
      <c r="AJ8" s="691"/>
      <c r="AK8" s="296"/>
      <c r="AL8" s="500"/>
      <c r="AM8" s="501"/>
      <c r="AN8" s="499"/>
      <c r="AO8" s="1016" t="str">
        <f>IF(OR(COUNTBLANK(AH8:AN8)&lt;7,BF44&gt;0),IF(E6="DE","Name:                         (Abteilung)","Name                        (Dept.)"),"")</f>
        <v/>
      </c>
      <c r="AP8" s="1017"/>
      <c r="AQ8" s="1018"/>
      <c r="AR8" s="1019"/>
      <c r="AS8" s="1019"/>
      <c r="AT8" s="1019"/>
      <c r="AU8" s="1019"/>
      <c r="AV8" s="1017" t="str">
        <f>IF(OR(COUNTBLANK(AH8:AN8)&lt;7,BF44&gt;0),IF(E6="DE","Datum","Date"),"")</f>
        <v/>
      </c>
      <c r="AW8" s="1017"/>
      <c r="AX8" s="1018"/>
      <c r="AY8" s="1020"/>
      <c r="AZ8" s="1020"/>
      <c r="BA8" s="1019"/>
      <c r="BB8" s="1021"/>
      <c r="BC8" s="282"/>
      <c r="BD8" s="282"/>
      <c r="BE8" s="282"/>
      <c r="BF8" s="282"/>
      <c r="BH8" s="460" t="s">
        <v>1722</v>
      </c>
      <c r="BI8" s="459" t="b">
        <f t="array" ref="BI8">OR(EXACT("M",G19:G43),EXACT("m",G19:G43))</f>
        <v>0</v>
      </c>
      <c r="BJ8" s="459" t="b">
        <f>(COUNTIF(BT19:BT43,"J"))&gt;0</f>
        <v>0</v>
      </c>
      <c r="BL8" s="279" t="s">
        <v>1893</v>
      </c>
    </row>
    <row r="9" spans="1:79" ht="28.5" customHeight="1">
      <c r="A9" s="922"/>
      <c r="B9" s="281"/>
      <c r="C9" s="776" t="str">
        <f>IF($E$6="DE","Punkt- Nummer (Index)","Welding-Spot Number (Index)")</f>
        <v>Punkt- Nummer (Index)</v>
      </c>
      <c r="D9" s="779" t="str">
        <f>IF($E$6="DE","Punkt- Name                                                   (FE - Bezeichnung)","Welding-Spot Number                                              (FE - designition)")</f>
        <v>Punkt- Name                                                   (FE - Bezeichnung)</v>
      </c>
      <c r="E9" s="782" t="str">
        <f>IF($E$6="DE","Schweißkoffer","Welding case-No.")</f>
        <v>Schweißkoffer</v>
      </c>
      <c r="F9" s="782" t="str">
        <f>IF($E$6="DE","Schweißen durch Rob. IR .. /                                Werker WA ..","Welding with Rob. IR ... /                    Worker WR No …")</f>
        <v>Schweißen durch Rob. IR .. /                                Werker WA ..</v>
      </c>
      <c r="G9" s="782" t="str">
        <f>IF($E$6="DE","Schweißzangen-Typ","Weldgun - Type")</f>
        <v>Schweißzangen-Typ</v>
      </c>
      <c r="H9" s="785" t="str">
        <f>IF($E$6="DE","Schweißzangen-Nr.","Weldgun drawing No.")</f>
        <v>Schweißzangen-Nr.</v>
      </c>
      <c r="I9" s="788" t="str">
        <f>IF($E$6="DE","Trafo","Weld-Transformer")</f>
        <v>Trafo</v>
      </c>
      <c r="J9" s="791" t="str">
        <f>IF($E$6="DE","Netzlinien","Car Netline")</f>
        <v>Netzlinien</v>
      </c>
      <c r="K9" s="792"/>
      <c r="L9" s="793"/>
      <c r="M9" s="791" t="str">
        <f>IF($E$6="DE","Blechpaarung","Sheet metal stack")</f>
        <v>Blechpaarung</v>
      </c>
      <c r="N9" s="792"/>
      <c r="O9" s="794"/>
      <c r="P9" s="770" t="str">
        <f>IF($E$6="DE","Blechdicke / Werkstoff","Sheet Thickness / Material")</f>
        <v>Blechdicke / Werkstoff</v>
      </c>
      <c r="Q9" s="771"/>
      <c r="R9" s="771"/>
      <c r="S9" s="771"/>
      <c r="T9" s="771"/>
      <c r="U9" s="771"/>
      <c r="V9" s="771"/>
      <c r="W9" s="771"/>
      <c r="X9" s="772"/>
      <c r="Y9" s="450"/>
      <c r="Z9" s="1069" t="str">
        <f>IF($E$6="DE","Zwischenrechnung","theoretical Values")</f>
        <v>Zwischenrechnung</v>
      </c>
      <c r="AA9" s="1070"/>
      <c r="AB9" s="1071"/>
      <c r="AC9" s="681" t="str">
        <f>IF($E$6="DE","Schweißparameter","Welding Parameters")</f>
        <v>Schweißparameter</v>
      </c>
      <c r="AD9" s="681"/>
      <c r="AE9" s="682"/>
      <c r="AF9" s="1037" t="str">
        <f>IF($E$6="DE","Anforderung","Requirement")</f>
        <v>Anforderung</v>
      </c>
      <c r="AG9" s="1038"/>
      <c r="AH9" s="699" t="str">
        <f>IF($E$6="DE","benötigte Elektrodenkappen für Schweißpunkt","required Electrode Caps for Spot")</f>
        <v>benötigte Elektrodenkappen für Schweißpunkt</v>
      </c>
      <c r="AI9" s="700"/>
      <c r="AJ9" s="700"/>
      <c r="AK9" s="701"/>
      <c r="AL9" s="702"/>
      <c r="AM9" s="709" t="str">
        <f>IF($E$6="DE","Bemerkung","Comments")</f>
        <v>Bemerkung</v>
      </c>
      <c r="AN9" s="710"/>
      <c r="AO9" s="699" t="str">
        <f>IF($E$6="DE","Schweißpunkte gültig für folgende Typen:","Welding Spots valid for the following Types")</f>
        <v>Schweißpunkte gültig für folgende Typen:</v>
      </c>
      <c r="AP9" s="700"/>
      <c r="AQ9" s="700"/>
      <c r="AR9" s="700"/>
      <c r="AS9" s="700"/>
      <c r="AT9" s="700"/>
      <c r="AU9" s="700"/>
      <c r="AV9" s="700"/>
      <c r="AW9" s="700"/>
      <c r="AX9" s="700"/>
      <c r="AY9" s="700"/>
      <c r="AZ9" s="700"/>
      <c r="BA9" s="700"/>
      <c r="BB9" s="727"/>
      <c r="BC9" s="282"/>
      <c r="BD9" s="282"/>
      <c r="BE9" s="282"/>
      <c r="BF9" s="282"/>
      <c r="BH9" s="306" t="s">
        <v>1724</v>
      </c>
      <c r="BI9" s="306" t="b">
        <f>(COUNTIF(G19:G43,"x"))&gt;0</f>
        <v>0</v>
      </c>
      <c r="BJ9" s="306" t="b">
        <f>(COUNTIF(BT19:BT43,"J"))&gt;0</f>
        <v>0</v>
      </c>
      <c r="BL9" s="279" t="b">
        <f>(COUNTIF(G19:G43,"s"))&gt;0</f>
        <v>0</v>
      </c>
    </row>
    <row r="10" spans="1:79" ht="21" customHeight="1">
      <c r="A10" s="922"/>
      <c r="B10" s="281"/>
      <c r="C10" s="777"/>
      <c r="D10" s="780"/>
      <c r="E10" s="783"/>
      <c r="F10" s="783"/>
      <c r="G10" s="783"/>
      <c r="H10" s="786"/>
      <c r="I10" s="789"/>
      <c r="J10" s="795" t="s">
        <v>36</v>
      </c>
      <c r="K10" s="798" t="s">
        <v>37</v>
      </c>
      <c r="L10" s="801" t="s">
        <v>38</v>
      </c>
      <c r="M10" s="804" t="str">
        <f>IF($E$6="DE","Zeichnungsnummer","Part drawing no")</f>
        <v>Zeichnungsnummer</v>
      </c>
      <c r="N10" s="805"/>
      <c r="O10" s="805"/>
      <c r="P10" s="746" t="s">
        <v>57</v>
      </c>
      <c r="Q10" s="965" t="str">
        <f>IF($E$6="DE","Werkstoff 1","Material 1")</f>
        <v>Werkstoff 1</v>
      </c>
      <c r="R10" s="939" t="str">
        <f>IF($E$6="DE","Streckgrenze Re 1","Yield strength Re 1")</f>
        <v>Streckgrenze Re 1</v>
      </c>
      <c r="S10" s="989" t="s">
        <v>58</v>
      </c>
      <c r="T10" s="965" t="str">
        <f>IF($E$6="DE","Werkstoff 2","Material 2")</f>
        <v>Werkstoff 2</v>
      </c>
      <c r="U10" s="939" t="str">
        <f>IF($E$6="DE","Streckgrenze Re 2","Yield strength Re 2")</f>
        <v>Streckgrenze Re 2</v>
      </c>
      <c r="V10" s="989" t="s">
        <v>59</v>
      </c>
      <c r="W10" s="965" t="str">
        <f>IF($E$6="DE","Werkstoff 3","Material 3")</f>
        <v>Werkstoff 3</v>
      </c>
      <c r="X10" s="939" t="str">
        <f>IF($E$6="DE","Streckgrenze Re 3","Yield strength Re 3")</f>
        <v>Streckgrenze Re 3</v>
      </c>
      <c r="Y10" s="987" t="str">
        <f>IF($E$6="DE","Klebstoff (J/N)","Adhesive (J=Yes /N=No)")</f>
        <v>Klebstoff (J/N)</v>
      </c>
      <c r="Z10" s="1072" t="str">
        <f>IF($E$6="DE","Vergleichsblechdicke tv","Ref. Thickness tv")</f>
        <v>Vergleichsblechdicke tv</v>
      </c>
      <c r="AA10" s="984" t="str">
        <f>IF($E$6="DE","Zuschlag Streckgrenze ","Yield strength surcharge")</f>
        <v xml:space="preserve">Zuschlag Streckgrenze </v>
      </c>
      <c r="AB10" s="686" t="str">
        <f>IF($E$6="DE","Schweißkraft inkl. Klebstoff (Zangenauslegung)","Welding Force incl. Adhesive (Gun Calculation)")</f>
        <v>Schweißkraft inkl. Klebstoff (Zangenauslegung)</v>
      </c>
      <c r="AC10" s="1066" t="str">
        <f>IF($E$6="DE","Schweißstrom","Welding Current")</f>
        <v>Schweißstrom</v>
      </c>
      <c r="AD10" s="692" t="str">
        <f>IF($E$6="DE","Schweißzeit","Welding Time")</f>
        <v>Schweißzeit</v>
      </c>
      <c r="AE10" s="686" t="str">
        <f>IF($E$6="DE","Schweißkraft incl. Klebstoff u.  bei VW50066/TL4225- Material außen","Welding Force incl. adhesive and VW50066/TL4225-Material outside")</f>
        <v>Schweißkraft incl. Klebstoff u.  bei VW50066/TL4225- Material außen</v>
      </c>
      <c r="AF10" s="683" t="str">
        <f>IF($E$6="DE","Linsendurchmesser dn min (Blech 1 - Blech 2)","Nuggetdiameter dn min (Sheet 1 - Sheet 2)")</f>
        <v>Linsendurchmesser dn min (Blech 1 - Blech 2)</v>
      </c>
      <c r="AG10" s="686" t="str">
        <f>IF($E$6="DE","Linsendurchmesser dn min (Blech 2 - Blech 3)","Nuggetdiameter dn min (Sheet 2 - Sheet 3)")</f>
        <v>Linsendurchmesser dn min (Blech 2 - Blech 3)</v>
      </c>
      <c r="AH10" s="683" t="str">
        <f>IF($E$6="DE","Elektroden-kappen","Electrode Cap")</f>
        <v>Elektroden-kappen</v>
      </c>
      <c r="AI10" s="692" t="str">
        <f>IF($E$6="DE"," Arbeitsflächendurchm. für Elektrode an Blech 1 (AF1)","Electrode Tip Diameter                       on Sheet 1 (AF1)")</f>
        <v xml:space="preserve"> Arbeitsflächendurchm. für Elektrode an Blech 1 (AF1)</v>
      </c>
      <c r="AJ10" s="692" t="str">
        <f>IF($E$6="DE","Arbeitsflächenradius für Elektrode an Blech 1 (R1)","Electrode Tip Radius                    on Sheet 1 (R1)")</f>
        <v>Arbeitsflächenradius für Elektrode an Blech 1 (R1)</v>
      </c>
      <c r="AK10" s="1057" t="str">
        <f>IF($E$6="DE","Arbeitsflächendurchm. für Elektrode an Blech 2/3 (AF2/3)","Electrode Tip Diameter                      on Sheet 2/3 (AF2/3)")</f>
        <v>Arbeitsflächendurchm. für Elektrode an Blech 2/3 (AF2/3)</v>
      </c>
      <c r="AL10" s="1013" t="str">
        <f>IF($E$6="DE","Arbeitsflächenradius für Elektrode an Blech 2/3 (R2/3)","Electrode Tip Radius                   on Sheet 2 (R2/3)")</f>
        <v>Arbeitsflächenradius für Elektrode an Blech 2/3 (R2/3)</v>
      </c>
      <c r="AM10" s="711"/>
      <c r="AN10" s="712"/>
      <c r="AO10" s="924" t="s">
        <v>1675</v>
      </c>
      <c r="AP10" s="906" t="s">
        <v>1676</v>
      </c>
      <c r="AQ10" s="906" t="s">
        <v>1677</v>
      </c>
      <c r="AR10" s="906" t="s">
        <v>1678</v>
      </c>
      <c r="AS10" s="906" t="s">
        <v>1679</v>
      </c>
      <c r="AT10" s="906" t="s">
        <v>1680</v>
      </c>
      <c r="AU10" s="906" t="s">
        <v>1681</v>
      </c>
      <c r="AV10" s="906" t="s">
        <v>1682</v>
      </c>
      <c r="AW10" s="906" t="s">
        <v>1683</v>
      </c>
      <c r="AX10" s="906" t="s">
        <v>1684</v>
      </c>
      <c r="AY10" s="906" t="s">
        <v>1911</v>
      </c>
      <c r="AZ10" s="906" t="s">
        <v>1912</v>
      </c>
      <c r="BA10" s="906" t="s">
        <v>1913</v>
      </c>
      <c r="BB10" s="906" t="s">
        <v>1914</v>
      </c>
      <c r="BC10" s="282"/>
      <c r="BD10" s="282"/>
      <c r="BE10" s="282"/>
      <c r="BF10" s="282"/>
    </row>
    <row r="11" spans="1:79" ht="21" customHeight="1">
      <c r="A11" s="922"/>
      <c r="B11" s="281"/>
      <c r="C11" s="777"/>
      <c r="D11" s="780"/>
      <c r="E11" s="783"/>
      <c r="F11" s="783"/>
      <c r="G11" s="783"/>
      <c r="H11" s="786"/>
      <c r="I11" s="789"/>
      <c r="J11" s="796"/>
      <c r="K11" s="799"/>
      <c r="L11" s="802"/>
      <c r="M11" s="806"/>
      <c r="N11" s="807"/>
      <c r="O11" s="807"/>
      <c r="P11" s="747"/>
      <c r="Q11" s="965"/>
      <c r="R11" s="939"/>
      <c r="S11" s="989"/>
      <c r="T11" s="965"/>
      <c r="U11" s="939"/>
      <c r="V11" s="989"/>
      <c r="W11" s="965"/>
      <c r="X11" s="939"/>
      <c r="Y11" s="987"/>
      <c r="Z11" s="1073"/>
      <c r="AA11" s="985"/>
      <c r="AB11" s="687"/>
      <c r="AC11" s="1067"/>
      <c r="AD11" s="693"/>
      <c r="AE11" s="687"/>
      <c r="AF11" s="684"/>
      <c r="AG11" s="687"/>
      <c r="AH11" s="684"/>
      <c r="AI11" s="693"/>
      <c r="AJ11" s="693"/>
      <c r="AK11" s="1058"/>
      <c r="AL11" s="1014"/>
      <c r="AM11" s="711"/>
      <c r="AN11" s="712"/>
      <c r="AO11" s="925"/>
      <c r="AP11" s="907"/>
      <c r="AQ11" s="907"/>
      <c r="AR11" s="907"/>
      <c r="AS11" s="907"/>
      <c r="AT11" s="907"/>
      <c r="AU11" s="907"/>
      <c r="AV11" s="907"/>
      <c r="AW11" s="907"/>
      <c r="AX11" s="907"/>
      <c r="AY11" s="907"/>
      <c r="AZ11" s="907"/>
      <c r="BA11" s="907"/>
      <c r="BB11" s="907"/>
      <c r="BC11" s="282"/>
      <c r="BD11" s="282"/>
      <c r="BE11" s="282"/>
      <c r="BF11" s="920" t="s">
        <v>1905</v>
      </c>
      <c r="BG11" s="919"/>
      <c r="BH11" s="905" t="s">
        <v>1134</v>
      </c>
      <c r="BI11" s="678" t="s">
        <v>1135</v>
      </c>
      <c r="BJ11" s="678" t="s">
        <v>1136</v>
      </c>
    </row>
    <row r="12" spans="1:79" ht="21" customHeight="1">
      <c r="A12" s="922"/>
      <c r="B12" s="281"/>
      <c r="C12" s="777"/>
      <c r="D12" s="780"/>
      <c r="E12" s="783"/>
      <c r="F12" s="783"/>
      <c r="G12" s="783"/>
      <c r="H12" s="786"/>
      <c r="I12" s="789"/>
      <c r="J12" s="796"/>
      <c r="K12" s="799"/>
      <c r="L12" s="802"/>
      <c r="M12" s="806"/>
      <c r="N12" s="807"/>
      <c r="O12" s="807"/>
      <c r="P12" s="747"/>
      <c r="Q12" s="965"/>
      <c r="R12" s="939"/>
      <c r="S12" s="989"/>
      <c r="T12" s="965"/>
      <c r="U12" s="939"/>
      <c r="V12" s="989"/>
      <c r="W12" s="965"/>
      <c r="X12" s="939"/>
      <c r="Y12" s="987"/>
      <c r="Z12" s="1073"/>
      <c r="AA12" s="985"/>
      <c r="AB12" s="687"/>
      <c r="AC12" s="1067"/>
      <c r="AD12" s="693"/>
      <c r="AE12" s="687"/>
      <c r="AF12" s="684"/>
      <c r="AG12" s="687"/>
      <c r="AH12" s="684"/>
      <c r="AI12" s="693"/>
      <c r="AJ12" s="693"/>
      <c r="AK12" s="1058"/>
      <c r="AL12" s="1014"/>
      <c r="AM12" s="711"/>
      <c r="AN12" s="712"/>
      <c r="AO12" s="925"/>
      <c r="AP12" s="907"/>
      <c r="AQ12" s="907"/>
      <c r="AR12" s="907"/>
      <c r="AS12" s="907"/>
      <c r="AT12" s="907"/>
      <c r="AU12" s="907"/>
      <c r="AV12" s="907"/>
      <c r="AW12" s="907"/>
      <c r="AX12" s="907"/>
      <c r="AY12" s="907"/>
      <c r="AZ12" s="907"/>
      <c r="BA12" s="907"/>
      <c r="BB12" s="907"/>
      <c r="BC12" s="282"/>
      <c r="BD12" s="282"/>
      <c r="BE12" s="282"/>
      <c r="BF12" s="920"/>
      <c r="BG12" s="919"/>
      <c r="BH12" s="905"/>
      <c r="BI12" s="679"/>
      <c r="BJ12" s="679"/>
      <c r="BN12" s="279" t="e">
        <f>MATCH(Q19,Materialliste!$A$1563:$A$1615,0)</f>
        <v>#N/A</v>
      </c>
    </row>
    <row r="13" spans="1:79" ht="21" customHeight="1">
      <c r="A13" s="922"/>
      <c r="B13" s="281"/>
      <c r="C13" s="777"/>
      <c r="D13" s="780"/>
      <c r="E13" s="783"/>
      <c r="F13" s="783"/>
      <c r="G13" s="783"/>
      <c r="H13" s="786"/>
      <c r="I13" s="789"/>
      <c r="J13" s="796"/>
      <c r="K13" s="799"/>
      <c r="L13" s="802"/>
      <c r="M13" s="806"/>
      <c r="N13" s="807"/>
      <c r="O13" s="807"/>
      <c r="P13" s="747"/>
      <c r="Q13" s="965"/>
      <c r="R13" s="939"/>
      <c r="S13" s="989"/>
      <c r="T13" s="965"/>
      <c r="U13" s="939"/>
      <c r="V13" s="989"/>
      <c r="W13" s="965"/>
      <c r="X13" s="939"/>
      <c r="Y13" s="987"/>
      <c r="Z13" s="1073"/>
      <c r="AA13" s="985"/>
      <c r="AB13" s="687"/>
      <c r="AC13" s="1067"/>
      <c r="AD13" s="693"/>
      <c r="AE13" s="687"/>
      <c r="AF13" s="684"/>
      <c r="AG13" s="687"/>
      <c r="AH13" s="684"/>
      <c r="AI13" s="693"/>
      <c r="AJ13" s="693"/>
      <c r="AK13" s="1058"/>
      <c r="AL13" s="1014"/>
      <c r="AM13" s="711"/>
      <c r="AN13" s="712"/>
      <c r="AO13" s="925"/>
      <c r="AP13" s="907"/>
      <c r="AQ13" s="907"/>
      <c r="AR13" s="907"/>
      <c r="AS13" s="907"/>
      <c r="AT13" s="907"/>
      <c r="AU13" s="907"/>
      <c r="AV13" s="907"/>
      <c r="AW13" s="907"/>
      <c r="AX13" s="907"/>
      <c r="AY13" s="907"/>
      <c r="AZ13" s="907"/>
      <c r="BA13" s="907"/>
      <c r="BB13" s="907"/>
      <c r="BC13" s="282"/>
      <c r="BD13" s="282"/>
      <c r="BE13" s="282"/>
      <c r="BF13" s="920"/>
      <c r="BG13" s="919"/>
      <c r="BH13" s="905"/>
      <c r="BI13" s="679"/>
      <c r="BJ13" s="679"/>
      <c r="BT13" s="279" t="s">
        <v>1725</v>
      </c>
    </row>
    <row r="14" spans="1:79" ht="21" customHeight="1">
      <c r="A14" s="922"/>
      <c r="B14" s="281"/>
      <c r="C14" s="777"/>
      <c r="D14" s="780"/>
      <c r="E14" s="783"/>
      <c r="F14" s="783"/>
      <c r="G14" s="783"/>
      <c r="H14" s="786"/>
      <c r="I14" s="789"/>
      <c r="J14" s="796"/>
      <c r="K14" s="799"/>
      <c r="L14" s="802"/>
      <c r="M14" s="806"/>
      <c r="N14" s="807"/>
      <c r="O14" s="807"/>
      <c r="P14" s="747"/>
      <c r="Q14" s="965"/>
      <c r="R14" s="939"/>
      <c r="S14" s="989"/>
      <c r="T14" s="965"/>
      <c r="U14" s="939"/>
      <c r="V14" s="989"/>
      <c r="W14" s="965"/>
      <c r="X14" s="939"/>
      <c r="Y14" s="987"/>
      <c r="Z14" s="1073"/>
      <c r="AA14" s="985"/>
      <c r="AB14" s="687"/>
      <c r="AC14" s="1067"/>
      <c r="AD14" s="693"/>
      <c r="AE14" s="687"/>
      <c r="AF14" s="684"/>
      <c r="AG14" s="687"/>
      <c r="AH14" s="684"/>
      <c r="AI14" s="693"/>
      <c r="AJ14" s="693"/>
      <c r="AK14" s="1058"/>
      <c r="AL14" s="1014"/>
      <c r="AM14" s="711"/>
      <c r="AN14" s="712"/>
      <c r="AO14" s="925"/>
      <c r="AP14" s="907"/>
      <c r="AQ14" s="907"/>
      <c r="AR14" s="907"/>
      <c r="AS14" s="907"/>
      <c r="AT14" s="907"/>
      <c r="AU14" s="907"/>
      <c r="AV14" s="907"/>
      <c r="AW14" s="907"/>
      <c r="AX14" s="907"/>
      <c r="AY14" s="907"/>
      <c r="AZ14" s="907"/>
      <c r="BA14" s="907"/>
      <c r="BB14" s="907"/>
      <c r="BC14" s="282"/>
      <c r="BD14" s="282"/>
      <c r="BE14" s="282"/>
      <c r="BF14" s="920"/>
      <c r="BG14" s="919"/>
      <c r="BH14" s="905"/>
      <c r="BI14" s="679"/>
      <c r="BJ14" s="679"/>
      <c r="BT14" s="279">
        <f>COUNTIF(BT19:BT43,"J")</f>
        <v>0</v>
      </c>
    </row>
    <row r="15" spans="1:79" ht="21" customHeight="1">
      <c r="A15" s="922"/>
      <c r="B15" s="281"/>
      <c r="C15" s="777"/>
      <c r="D15" s="780"/>
      <c r="E15" s="783"/>
      <c r="F15" s="783"/>
      <c r="G15" s="783"/>
      <c r="H15" s="786"/>
      <c r="I15" s="789"/>
      <c r="J15" s="796"/>
      <c r="K15" s="799"/>
      <c r="L15" s="802"/>
      <c r="M15" s="806"/>
      <c r="N15" s="807"/>
      <c r="O15" s="807"/>
      <c r="P15" s="747"/>
      <c r="Q15" s="965"/>
      <c r="R15" s="939"/>
      <c r="S15" s="989"/>
      <c r="T15" s="965"/>
      <c r="U15" s="939"/>
      <c r="V15" s="989"/>
      <c r="W15" s="965"/>
      <c r="X15" s="939"/>
      <c r="Y15" s="987"/>
      <c r="Z15" s="1073"/>
      <c r="AA15" s="985"/>
      <c r="AB15" s="687"/>
      <c r="AC15" s="1067"/>
      <c r="AD15" s="693"/>
      <c r="AE15" s="687"/>
      <c r="AF15" s="684"/>
      <c r="AG15" s="687"/>
      <c r="AH15" s="684"/>
      <c r="AI15" s="693"/>
      <c r="AJ15" s="693"/>
      <c r="AK15" s="1058"/>
      <c r="AL15" s="1014"/>
      <c r="AM15" s="711"/>
      <c r="AN15" s="712"/>
      <c r="AO15" s="925"/>
      <c r="AP15" s="907"/>
      <c r="AQ15" s="907"/>
      <c r="AR15" s="907"/>
      <c r="AS15" s="907"/>
      <c r="AT15" s="907"/>
      <c r="AU15" s="907"/>
      <c r="AV15" s="907"/>
      <c r="AW15" s="907"/>
      <c r="AX15" s="907"/>
      <c r="AY15" s="907"/>
      <c r="AZ15" s="907"/>
      <c r="BA15" s="907"/>
      <c r="BB15" s="907"/>
      <c r="BC15" s="282"/>
      <c r="BD15" s="282"/>
      <c r="BE15" s="282"/>
      <c r="BF15" s="920"/>
      <c r="BG15" s="919"/>
      <c r="BH15" s="905"/>
      <c r="BI15" s="679"/>
      <c r="BJ15" s="679"/>
    </row>
    <row r="16" spans="1:79" ht="21" customHeight="1">
      <c r="A16" s="922"/>
      <c r="B16" s="281"/>
      <c r="C16" s="777"/>
      <c r="D16" s="780"/>
      <c r="E16" s="783"/>
      <c r="F16" s="783"/>
      <c r="G16" s="783"/>
      <c r="H16" s="786"/>
      <c r="I16" s="789"/>
      <c r="J16" s="796"/>
      <c r="K16" s="799"/>
      <c r="L16" s="802"/>
      <c r="M16" s="806"/>
      <c r="N16" s="807"/>
      <c r="O16" s="807"/>
      <c r="P16" s="747"/>
      <c r="Q16" s="965"/>
      <c r="R16" s="939"/>
      <c r="S16" s="989"/>
      <c r="T16" s="965"/>
      <c r="U16" s="939"/>
      <c r="V16" s="989"/>
      <c r="W16" s="965"/>
      <c r="X16" s="939"/>
      <c r="Y16" s="987"/>
      <c r="Z16" s="1073"/>
      <c r="AA16" s="985"/>
      <c r="AB16" s="687"/>
      <c r="AC16" s="1067"/>
      <c r="AD16" s="693"/>
      <c r="AE16" s="687"/>
      <c r="AF16" s="684"/>
      <c r="AG16" s="687"/>
      <c r="AH16" s="684"/>
      <c r="AI16" s="693"/>
      <c r="AJ16" s="693"/>
      <c r="AK16" s="1058"/>
      <c r="AL16" s="1014"/>
      <c r="AM16" s="711"/>
      <c r="AN16" s="712"/>
      <c r="AO16" s="925"/>
      <c r="AP16" s="907"/>
      <c r="AQ16" s="907"/>
      <c r="AR16" s="907"/>
      <c r="AS16" s="907"/>
      <c r="AT16" s="907"/>
      <c r="AU16" s="907"/>
      <c r="AV16" s="907"/>
      <c r="AW16" s="907"/>
      <c r="AX16" s="907"/>
      <c r="AY16" s="907"/>
      <c r="AZ16" s="907"/>
      <c r="BA16" s="907"/>
      <c r="BB16" s="907"/>
      <c r="BC16" s="282"/>
      <c r="BD16" s="282"/>
      <c r="BE16" s="282"/>
      <c r="BF16" s="920"/>
      <c r="BG16" s="919"/>
      <c r="BH16" s="905"/>
      <c r="BI16" s="679"/>
      <c r="BJ16" s="679"/>
      <c r="BM16" s="297"/>
      <c r="BN16" s="297"/>
      <c r="BO16" s="297"/>
      <c r="BP16" s="297"/>
      <c r="BQ16" s="297"/>
      <c r="BR16" s="297"/>
      <c r="BS16" s="297"/>
      <c r="BT16" s="297"/>
      <c r="BU16" s="297"/>
      <c r="BV16" s="297"/>
      <c r="BW16" s="297"/>
      <c r="BX16" s="297"/>
      <c r="BY16" s="297"/>
      <c r="BZ16" s="297"/>
      <c r="CA16" s="297"/>
    </row>
    <row r="17" spans="1:90" ht="21" customHeight="1">
      <c r="A17" s="922"/>
      <c r="B17" s="281"/>
      <c r="C17" s="777"/>
      <c r="D17" s="780"/>
      <c r="E17" s="783"/>
      <c r="F17" s="783"/>
      <c r="G17" s="783"/>
      <c r="H17" s="786"/>
      <c r="I17" s="790"/>
      <c r="J17" s="797"/>
      <c r="K17" s="800"/>
      <c r="L17" s="803"/>
      <c r="M17" s="808"/>
      <c r="N17" s="809"/>
      <c r="O17" s="809"/>
      <c r="P17" s="747"/>
      <c r="Q17" s="966"/>
      <c r="R17" s="940"/>
      <c r="S17" s="990"/>
      <c r="T17" s="966"/>
      <c r="U17" s="940"/>
      <c r="V17" s="990"/>
      <c r="W17" s="966"/>
      <c r="X17" s="940"/>
      <c r="Y17" s="988"/>
      <c r="Z17" s="1074"/>
      <c r="AA17" s="986"/>
      <c r="AB17" s="688"/>
      <c r="AC17" s="1068"/>
      <c r="AD17" s="694"/>
      <c r="AE17" s="688"/>
      <c r="AF17" s="685"/>
      <c r="AG17" s="688"/>
      <c r="AH17" s="685"/>
      <c r="AI17" s="694"/>
      <c r="AJ17" s="694"/>
      <c r="AK17" s="1059"/>
      <c r="AL17" s="1015"/>
      <c r="AM17" s="711"/>
      <c r="AN17" s="712"/>
      <c r="AO17" s="925"/>
      <c r="AP17" s="907"/>
      <c r="AQ17" s="907"/>
      <c r="AR17" s="907"/>
      <c r="AS17" s="907"/>
      <c r="AT17" s="907"/>
      <c r="AU17" s="907"/>
      <c r="AV17" s="907"/>
      <c r="AW17" s="907"/>
      <c r="AX17" s="907"/>
      <c r="AY17" s="907"/>
      <c r="AZ17" s="907"/>
      <c r="BA17" s="907"/>
      <c r="BB17" s="907"/>
      <c r="BC17" s="282"/>
      <c r="BD17" s="282"/>
      <c r="BE17" s="282"/>
      <c r="BF17" s="920"/>
      <c r="BG17" s="919"/>
      <c r="BH17" s="905"/>
      <c r="BI17" s="679"/>
      <c r="BJ17" s="679"/>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2"/>
      <c r="B18" s="281"/>
      <c r="C18" s="778"/>
      <c r="D18" s="781"/>
      <c r="E18" s="784"/>
      <c r="F18" s="784"/>
      <c r="G18" s="784"/>
      <c r="H18" s="787"/>
      <c r="I18" s="430" t="s">
        <v>40</v>
      </c>
      <c r="J18" s="431"/>
      <c r="K18" s="432"/>
      <c r="L18" s="433"/>
      <c r="M18" s="434"/>
      <c r="N18" s="435"/>
      <c r="O18" s="436"/>
      <c r="P18" s="300" t="s">
        <v>41</v>
      </c>
      <c r="Q18" s="301" t="str">
        <f>IF($E$6="DE","nach VW50065/ VW50066/ TL89…TL117","acc.to VW50065/ VW50066/ TL89…TL117")</f>
        <v>nach VW50065/ VW50066/ TL89…TL117</v>
      </c>
      <c r="R18" s="302" t="s">
        <v>60</v>
      </c>
      <c r="S18" s="300" t="s">
        <v>41</v>
      </c>
      <c r="T18" s="301" t="str">
        <f>IF($E$6="DE","nach VW50065/ VW50066/ TL89…TL117","acc.to VW50065/ VW50066/ TL89…TL117")</f>
        <v>nach VW50065/ VW50066/ TL89…TL117</v>
      </c>
      <c r="U18" s="302" t="s">
        <v>60</v>
      </c>
      <c r="V18" s="300" t="s">
        <v>41</v>
      </c>
      <c r="W18" s="301" t="str">
        <f>IF($E$6="DE","nach VW50065/ VW50066/ TL89…TL117","acc.to VW50065/ VW50066/ TL89…TL117")</f>
        <v>nach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3"/>
      <c r="AN18" s="714"/>
      <c r="AO18" s="926"/>
      <c r="AP18" s="908"/>
      <c r="AQ18" s="908"/>
      <c r="AR18" s="908"/>
      <c r="AS18" s="908"/>
      <c r="AT18" s="908"/>
      <c r="AU18" s="908"/>
      <c r="AV18" s="908"/>
      <c r="AW18" s="908"/>
      <c r="AX18" s="908"/>
      <c r="AY18" s="908"/>
      <c r="AZ18" s="908"/>
      <c r="BA18" s="908"/>
      <c r="BB18" s="908"/>
      <c r="BC18" s="282"/>
      <c r="BD18" s="282"/>
      <c r="BE18" s="282"/>
      <c r="BF18" s="920"/>
      <c r="BG18" s="919"/>
      <c r="BH18" s="905"/>
      <c r="BI18" s="680"/>
      <c r="BJ18" s="680"/>
      <c r="BM18" s="973" t="s">
        <v>1750</v>
      </c>
      <c r="BN18" s="973"/>
      <c r="BO18" s="973"/>
      <c r="BP18" s="973"/>
      <c r="BQ18" s="973"/>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2"/>
      <c r="B19" s="281"/>
      <c r="C19" s="307">
        <v>7.1163100000000004</v>
      </c>
      <c r="D19" s="308" t="s">
        <v>1932</v>
      </c>
      <c r="E19" s="309" t="s">
        <v>1188</v>
      </c>
      <c r="F19" s="310" t="s">
        <v>1933</v>
      </c>
      <c r="G19" s="336" t="s">
        <v>1934</v>
      </c>
      <c r="H19" s="311" t="s">
        <v>1935</v>
      </c>
      <c r="I19" s="478" t="s">
        <v>1188</v>
      </c>
      <c r="J19" s="312">
        <v>-350.95</v>
      </c>
      <c r="K19" s="313">
        <v>597.53</v>
      </c>
      <c r="L19" s="314">
        <v>355.22</v>
      </c>
      <c r="M19" s="315" t="s">
        <v>1936</v>
      </c>
      <c r="N19" s="316" t="s">
        <v>1930</v>
      </c>
      <c r="O19" s="317" t="s">
        <v>1188</v>
      </c>
      <c r="P19" s="502">
        <v>1.2</v>
      </c>
      <c r="Q19" s="320" t="s">
        <v>1638</v>
      </c>
      <c r="R19" s="318">
        <f>IF(AND(ISBLANK(P19),ISTEXT(Q19)),"t1?",IF(AND(ISBLANK(Q19),ISBLANK(P19)),"",VLOOKUP(BH19,Materialliste!$A$2:$B$1615,2,FALSE)))</f>
        <v>550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1.3</v>
      </c>
      <c r="AA19" s="446">
        <f>IF(AND(ISNUMBER(R19),ISNUMBER(U19)),IF(ISTEXT(X19),(R19+U19)/(220*3*10)+0.9,(R19+U19+X19)/(220*3*10)+0.9),"?Re")</f>
        <v>1.0666666666666667</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2.9641333333333337</v>
      </c>
      <c r="AC19" s="322">
        <f>IF(AND(BT19="J",OR(G19="C",G19="X")),39,IF(AND(BT19="N",OR(G19="C",G19="X")),IF(Z19="BLECH?","",IF(AND(BX19=TRUE,BZ19=TRUE),IF(Z19&lt;=2,((1.13*Z19+7.1+BY19)+(1.13*Z19+7.1+CA19))/2*BW19,((1.5*Z19+5.8+BY19)+(1.5*Z19+5.8+CA19))/2*BW19),IF(Z19&lt;=2,(1.13*Z19+7.1+BY19+CA19)*BW19,(1.5*Z19+5.8+BY19+CA19)*BW19))),IF(OR(G19="B",G19="S"),6,IF(G19="R",7,IF(AND(G19="M",BT19="N"),4.3,IF(AND(G19="M",BT19="J"),"21",""))))))</f>
        <v>8.5689999999999991</v>
      </c>
      <c r="AD19" s="323">
        <f t="shared" ref="AD19:AD25" si="1">IF(OR(ISBLANK(G19),Z19="BLECH?"),"",IF(AND(BT19="J",G19="C"),60,IF(G19="B",60,IF(G19="R",150,IF(G19="S",90,IF(AND(G19="m",BT19="n"),350,IF(AND(G19="m",BT19="j"),50,MAX(MIN((((P19+S19+V19-1.4)*(600/4.6))+200)+BU19,900),200))))))))</f>
        <v>395.6521739130435</v>
      </c>
      <c r="AE19" s="324">
        <f>IF(AND(BT19="J",OR(G19="C",G19="X")),AB19*1,IF(OR(G19="C",G19="X"),AB19*BV19,IF(ISBLANK(G19),AB19,AB19*1)))</f>
        <v>2.9641333333333337</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3.8340579025361627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4"/>
      <c r="AN19" s="1005"/>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CR440Y780T-DH-EG12/12</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1.7</v>
      </c>
      <c r="BN19" s="475">
        <f>LARGE(BO19:BQ19,2)</f>
        <v>1.2</v>
      </c>
      <c r="BO19" s="474">
        <f t="shared" ref="BO19:BO43" si="7">P19</f>
        <v>1.2</v>
      </c>
      <c r="BP19" s="474">
        <f t="shared" ref="BP19:BP43" si="8">S19</f>
        <v>1.7</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2"/>
      <c r="B20" s="281"/>
      <c r="C20" s="332">
        <v>7.11632</v>
      </c>
      <c r="D20" s="333" t="s">
        <v>1937</v>
      </c>
      <c r="E20" s="334" t="s">
        <v>1188</v>
      </c>
      <c r="F20" s="335" t="s">
        <v>1933</v>
      </c>
      <c r="G20" s="336" t="s">
        <v>1934</v>
      </c>
      <c r="H20" s="337" t="s">
        <v>1935</v>
      </c>
      <c r="I20" s="479" t="s">
        <v>1188</v>
      </c>
      <c r="J20" s="338">
        <v>-335.41</v>
      </c>
      <c r="K20" s="339">
        <v>552.78</v>
      </c>
      <c r="L20" s="340">
        <v>335.76</v>
      </c>
      <c r="M20" s="341" t="s">
        <v>1938</v>
      </c>
      <c r="N20" s="342" t="s">
        <v>1930</v>
      </c>
      <c r="O20" s="343" t="s">
        <v>1936</v>
      </c>
      <c r="P20" s="319">
        <v>1.75</v>
      </c>
      <c r="Q20" s="320" t="s">
        <v>615</v>
      </c>
      <c r="R20" s="344">
        <f>IF(AND(ISBLANK(P20),ISTEXT(Q20)),"t1?",IF(AND(ISBLANK(Q20),ISBLANK(P20)),"",VLOOKUP(BH20,Materialliste!$A$2:$B$1615,2,FALSE)))</f>
        <v>350</v>
      </c>
      <c r="S20" s="319">
        <v>1.7</v>
      </c>
      <c r="T20" s="320" t="s">
        <v>1004</v>
      </c>
      <c r="U20" s="345">
        <f>IF(AND(ISBLANK(S20),ISTEXT(T20)),"t2?",IF(AND(ISBLANK(T20),ISBLANK(S20)),"",VLOOKUP(BI20,Materialliste!$A$2:$B$1615,2,FALSE)))</f>
        <v>550</v>
      </c>
      <c r="V20" s="319">
        <v>1</v>
      </c>
      <c r="W20" s="320" t="s">
        <v>1638</v>
      </c>
      <c r="X20" s="345">
        <f>IF(AND(ISBLANK(V20),ISTEXT(W20)),"t3?",IF(AND(ISBLANK(W20),ISBLANK(V20)),"",VLOOKUP(BJ20,Materialliste!$A$2:$B$1615,2,FALSE)))</f>
        <v>550</v>
      </c>
      <c r="Y20" s="443" t="s">
        <v>1925</v>
      </c>
      <c r="Z20" s="346">
        <f t="shared" si="0"/>
        <v>1.7100000000000002</v>
      </c>
      <c r="AA20" s="347">
        <f t="shared" ref="AA20:AA43" si="11">IF(AND(ISNUMBER(R20),ISNUMBER(U20)),IF(ISTEXT(X20),(R20+U20)/(220*3*10)+0.9,(R20+U20+X20)/(220*3*10)+0.9),"?Re")</f>
        <v>1.1196969696969696</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3.8539418181818186</v>
      </c>
      <c r="AC20" s="348">
        <f t="shared" ref="AC20:AC43" si="13">IF(AND(BT20="J",OR(G20="C",G20="X")),39,IF(OR(G20="C",G20="X"),IF(Z20="BLECH?","",IF(AND(BX20=TRUE,BZ20=TRUE),IF(Z20&lt;=2,((1.13*Z20+7.1+BY20)+(1.13*Z20+7.1+CA20))/2*BW20,((1.5*Z20+5.8+BY20)+(1.5*Z20+5.8+CA20))/2*BW20),IF(Z20&lt;=2,(1.13*Z20+7.1+BY20+CA20)*BW20,(1.5*Z20+5.8+BY20+CA20)*BW20))),IF(OR(G20="B",G20="S"),6,IF(G20="R",7,IF(AND(G20="M",BT20="N"),4.3,IF(AND(G20="M",BT20="J"),"21",""))))))</f>
        <v>9.9322999999999997</v>
      </c>
      <c r="AD20" s="323">
        <f t="shared" si="1"/>
        <v>597.82608695652175</v>
      </c>
      <c r="AE20" s="349">
        <f t="shared" ref="AE20:AE43" si="14">IF(AND(BT20="J",OR(G20="C",G20="X")),AB20*1,IF(OR(G20="C",G20="X"),AB20*BV20,IF(ISBLANK(G20),AB20,AB20*1)))</f>
        <v>3.8539418181818186</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3.5</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5"/>
      <c r="AN20" s="696"/>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CR270LA-UC</v>
      </c>
      <c r="BI20" s="473" t="str">
        <f t="shared" si="4"/>
        <v>CR440Y780T-DP-GI40/40</v>
      </c>
      <c r="BJ20" s="473" t="str">
        <f t="shared" si="5"/>
        <v>CR440Y780T-DH-EG12/12</v>
      </c>
      <c r="BM20" s="474">
        <f t="shared" si="6"/>
        <v>1.75</v>
      </c>
      <c r="BN20" s="475">
        <f t="shared" ref="BN20:BN43" si="22">LARGE(BO20:BQ20,2)</f>
        <v>1.7</v>
      </c>
      <c r="BO20" s="474">
        <f t="shared" si="7"/>
        <v>1.75</v>
      </c>
      <c r="BP20" s="474">
        <f t="shared" si="8"/>
        <v>1.7</v>
      </c>
      <c r="BQ20" s="474">
        <f t="shared" si="9"/>
        <v>1</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1</v>
      </c>
      <c r="BY20" s="298">
        <f t="shared" ref="BY20:BY43" si="27">IF(BX20=TRUE,0.9,0)</f>
        <v>0.9</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2"/>
      <c r="B21" s="281"/>
      <c r="C21" s="332">
        <v>7.1163299999999996</v>
      </c>
      <c r="D21" s="333" t="s">
        <v>1939</v>
      </c>
      <c r="E21" s="334" t="s">
        <v>1188</v>
      </c>
      <c r="F21" s="335" t="s">
        <v>1933</v>
      </c>
      <c r="G21" s="336" t="s">
        <v>1934</v>
      </c>
      <c r="H21" s="337" t="s">
        <v>1935</v>
      </c>
      <c r="I21" s="479" t="s">
        <v>1188</v>
      </c>
      <c r="J21" s="338">
        <v>-113.49</v>
      </c>
      <c r="K21" s="339">
        <v>503.08</v>
      </c>
      <c r="L21" s="340">
        <v>292.64999999999998</v>
      </c>
      <c r="M21" s="341" t="s">
        <v>1929</v>
      </c>
      <c r="N21" s="342" t="s">
        <v>1930</v>
      </c>
      <c r="O21" s="343" t="s">
        <v>1188</v>
      </c>
      <c r="P21" s="319">
        <v>2.1</v>
      </c>
      <c r="Q21" s="320" t="s">
        <v>1129</v>
      </c>
      <c r="R21" s="355">
        <f>IF(AND(ISBLANK(P21),ISTEXT(Q21)),"t1?",IF(AND(ISBLANK(Q21),ISBLANK(P21)),"",VLOOKUP(BH21,Materialliste!$A$2:$B$1615,2,FALSE)))</f>
        <v>1250</v>
      </c>
      <c r="S21" s="319">
        <v>1.7</v>
      </c>
      <c r="T21" s="320" t="s">
        <v>1004</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1.7800000000000002</v>
      </c>
      <c r="AA21" s="347">
        <f t="shared" si="11"/>
        <v>1.1727272727272728</v>
      </c>
      <c r="AB21" s="454">
        <f t="shared" si="12"/>
        <v>4.1611527272727278</v>
      </c>
      <c r="AC21" s="348">
        <f t="shared" si="13"/>
        <v>7.1496900000000005</v>
      </c>
      <c r="AD21" s="323">
        <f t="shared" si="1"/>
        <v>813.04347826086951</v>
      </c>
      <c r="AE21" s="349">
        <f t="shared" si="14"/>
        <v>2.9128069090909094</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5"/>
      <c r="AN21" s="696"/>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CR440Y780T-DP-GI40/40</v>
      </c>
      <c r="BJ21" s="473">
        <f t="shared" si="5"/>
        <v>0</v>
      </c>
      <c r="BM21" s="474">
        <f t="shared" si="6"/>
        <v>2.1</v>
      </c>
      <c r="BN21" s="475">
        <f t="shared" si="22"/>
        <v>1.7</v>
      </c>
      <c r="BO21" s="474">
        <f t="shared" si="7"/>
        <v>2.1</v>
      </c>
      <c r="BP21" s="474">
        <f t="shared" si="8"/>
        <v>1.7</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2"/>
      <c r="B22" s="281"/>
      <c r="C22" s="332"/>
      <c r="D22" s="333"/>
      <c r="E22" s="334"/>
      <c r="F22" s="335"/>
      <c r="G22" s="336"/>
      <c r="H22" s="337"/>
      <c r="I22" s="479"/>
      <c r="J22" s="338"/>
      <c r="K22" s="339"/>
      <c r="L22" s="340"/>
      <c r="M22" s="341"/>
      <c r="N22" s="342"/>
      <c r="O22" s="343"/>
      <c r="P22" s="319"/>
      <c r="Q22" s="320"/>
      <c r="R22" s="355" t="str">
        <f>IF(AND(ISBLANK(P22),ISTEXT(Q22)),"t1?",IF(AND(ISBLANK(Q22),ISBLANK(P22)),"",VLOOKUP(BH22,Materialliste!$A$2:$B$1615,2,FALSE)))</f>
        <v/>
      </c>
      <c r="S22" s="319"/>
      <c r="T22" s="320"/>
      <c r="U22" s="355" t="str">
        <f>IF(AND(ISBLANK(S22),ISTEXT(T22)),"t2?",IF(AND(ISBLANK(T22),ISBLANK(S22)),"",VLOOKUP(BI22,Materialliste!$A$2:$B$1615,2,FALSE)))</f>
        <v/>
      </c>
      <c r="V22" s="319"/>
      <c r="W22" s="356"/>
      <c r="X22" s="355" t="str">
        <f>IF(AND(ISBLANK(V22),ISTEXT(W22)),"t3?",IF(AND(ISBLANK(W22),ISBLANK(V22)),"",VLOOKUP(BJ22,Materialliste!$A$2:$B$1615,2,FALSE)))</f>
        <v/>
      </c>
      <c r="Y22" s="443"/>
      <c r="Z22" s="346" t="str">
        <f t="shared" si="0"/>
        <v>BLECH?</v>
      </c>
      <c r="AA22" s="347" t="str">
        <f t="shared" si="11"/>
        <v>?Re</v>
      </c>
      <c r="AB22" s="454" t="str">
        <f t="shared" si="12"/>
        <v>Klebstoff?</v>
      </c>
      <c r="AC22" s="348" t="str">
        <f t="shared" si="13"/>
        <v/>
      </c>
      <c r="AD22" s="323" t="str">
        <f t="shared" si="1"/>
        <v/>
      </c>
      <c r="AE22" s="349" t="str">
        <f t="shared" si="14"/>
        <v>Klebstoff?</v>
      </c>
      <c r="AF22" s="480" t="str">
        <f t="shared" si="15"/>
        <v/>
      </c>
      <c r="AG22" s="482" t="str">
        <f t="shared" si="16"/>
        <v/>
      </c>
      <c r="AH22" s="461" t="str">
        <f t="shared" si="2"/>
        <v/>
      </c>
      <c r="AI22" s="350" t="str">
        <f t="shared" si="17"/>
        <v/>
      </c>
      <c r="AJ22" s="350" t="str">
        <f t="shared" si="18"/>
        <v/>
      </c>
      <c r="AK22" s="350" t="str">
        <f t="shared" si="19"/>
        <v/>
      </c>
      <c r="AL22" s="351" t="str">
        <f t="shared" si="20"/>
        <v/>
      </c>
      <c r="AM22" s="695"/>
      <c r="AN22" s="696"/>
      <c r="AO22" s="352"/>
      <c r="AP22" s="504"/>
      <c r="AQ22" s="353"/>
      <c r="AR22" s="353"/>
      <c r="AS22" s="353"/>
      <c r="AT22" s="353"/>
      <c r="AU22" s="353"/>
      <c r="AV22" s="353"/>
      <c r="AW22" s="353"/>
      <c r="AX22" s="353"/>
      <c r="AY22" s="353"/>
      <c r="AZ22" s="353"/>
      <c r="BA22" s="353"/>
      <c r="BB22" s="354"/>
      <c r="BC22" s="282"/>
      <c r="BE22" s="282"/>
      <c r="BF22" s="353" t="str">
        <f t="shared" si="21"/>
        <v>Nein</v>
      </c>
      <c r="BH22" s="473">
        <f t="shared" si="3"/>
        <v>0</v>
      </c>
      <c r="BI22" s="473">
        <f t="shared" si="4"/>
        <v>0</v>
      </c>
      <c r="BJ22" s="473">
        <f t="shared" si="5"/>
        <v>0</v>
      </c>
      <c r="BM22" s="474">
        <f t="shared" si="6"/>
        <v>0</v>
      </c>
      <c r="BN22" s="475">
        <f t="shared" si="22"/>
        <v>0</v>
      </c>
      <c r="BO22" s="474">
        <f t="shared" si="7"/>
        <v>0</v>
      </c>
      <c r="BP22" s="474">
        <f t="shared" si="8"/>
        <v>0</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1</v>
      </c>
      <c r="BY22" s="298">
        <f t="shared" si="27"/>
        <v>0.9</v>
      </c>
      <c r="BZ22" s="298" t="b">
        <f t="shared" si="28"/>
        <v>1</v>
      </c>
      <c r="CA22" s="298">
        <f t="shared" si="29"/>
        <v>-0.7</v>
      </c>
      <c r="CB22" s="331"/>
      <c r="CH22" s="306" t="str">
        <f t="shared" si="30"/>
        <v/>
      </c>
      <c r="CL22" s="306" t="str">
        <f t="shared" si="31"/>
        <v/>
      </c>
    </row>
    <row r="23" spans="1:90" ht="33" customHeight="1">
      <c r="A23" s="922"/>
      <c r="B23" s="281"/>
      <c r="C23" s="332"/>
      <c r="D23" s="333"/>
      <c r="E23" s="334"/>
      <c r="F23" s="335"/>
      <c r="G23" s="336"/>
      <c r="H23" s="337"/>
      <c r="I23" s="479"/>
      <c r="J23" s="338"/>
      <c r="K23" s="339"/>
      <c r="L23" s="340"/>
      <c r="M23" s="342"/>
      <c r="N23" s="342"/>
      <c r="O23" s="342"/>
      <c r="P23" s="319"/>
      <c r="Q23" s="320"/>
      <c r="R23" s="355" t="str">
        <f>IF(AND(ISBLANK(P23),ISTEXT(Q23)),"t1?",IF(AND(ISBLANK(Q23),ISBLANK(P23)),"",VLOOKUP(BH23,Materialliste!$A$2:$B$1615,2,FALSE)))</f>
        <v/>
      </c>
      <c r="S23" s="319"/>
      <c r="T23" s="320"/>
      <c r="U23" s="355" t="str">
        <f>IF(AND(ISBLANK(S23),ISTEXT(T23)),"t2?",IF(AND(ISBLANK(T23),ISBLANK(S23)),"",VLOOKUP(BI23,Materialliste!$A$2:$B$1615,2,FALSE)))</f>
        <v/>
      </c>
      <c r="V23" s="319"/>
      <c r="W23" s="320"/>
      <c r="X23" s="355" t="str">
        <f>IF(AND(ISBLANK(V23),ISTEXT(W23)),"t3?",IF(AND(ISBLANK(W23),ISBLANK(V23)),"",VLOOKUP(BJ23,Materialliste!$A$2:$B$1615,2,FALSE)))</f>
        <v/>
      </c>
      <c r="Y23" s="443"/>
      <c r="Z23" s="346" t="str">
        <f t="shared" si="0"/>
        <v>BLECH?</v>
      </c>
      <c r="AA23" s="347" t="str">
        <f t="shared" si="11"/>
        <v>?Re</v>
      </c>
      <c r="AB23" s="454" t="str">
        <f t="shared" si="12"/>
        <v>Klebstoff?</v>
      </c>
      <c r="AC23" s="348" t="str">
        <f t="shared" si="13"/>
        <v/>
      </c>
      <c r="AD23" s="323" t="str">
        <f t="shared" si="1"/>
        <v/>
      </c>
      <c r="AE23" s="349" t="str">
        <f t="shared" si="14"/>
        <v>Klebstoff?</v>
      </c>
      <c r="AF23" s="480" t="str">
        <f t="shared" si="15"/>
        <v/>
      </c>
      <c r="AG23" s="482" t="str">
        <f t="shared" si="16"/>
        <v/>
      </c>
      <c r="AH23" s="461" t="str">
        <f t="shared" si="2"/>
        <v/>
      </c>
      <c r="AI23" s="350" t="str">
        <f t="shared" si="17"/>
        <v/>
      </c>
      <c r="AJ23" s="350" t="str">
        <f t="shared" si="18"/>
        <v/>
      </c>
      <c r="AK23" s="350" t="str">
        <f t="shared" si="19"/>
        <v/>
      </c>
      <c r="AL23" s="351" t="str">
        <f t="shared" si="20"/>
        <v/>
      </c>
      <c r="AM23" s="695"/>
      <c r="AN23" s="696"/>
      <c r="AO23" s="352"/>
      <c r="AP23" s="504"/>
      <c r="AQ23" s="353"/>
      <c r="AR23" s="353"/>
      <c r="AS23" s="353"/>
      <c r="AT23" s="353"/>
      <c r="AU23" s="353"/>
      <c r="AV23" s="353"/>
      <c r="AW23" s="353"/>
      <c r="AX23" s="353"/>
      <c r="AY23" s="353"/>
      <c r="AZ23" s="353"/>
      <c r="BA23" s="353"/>
      <c r="BB23" s="354"/>
      <c r="BC23" s="282"/>
      <c r="BE23" s="282"/>
      <c r="BF23" s="353" t="str">
        <f t="shared" si="21"/>
        <v>Nein</v>
      </c>
      <c r="BH23" s="473">
        <f t="shared" si="3"/>
        <v>0</v>
      </c>
      <c r="BI23" s="473">
        <f t="shared" si="4"/>
        <v>0</v>
      </c>
      <c r="BJ23" s="473">
        <f t="shared" si="5"/>
        <v>0</v>
      </c>
      <c r="BM23" s="474">
        <f t="shared" si="6"/>
        <v>0</v>
      </c>
      <c r="BN23" s="475">
        <f>LARGE(BO23:BQ23,2)</f>
        <v>0</v>
      </c>
      <c r="BO23" s="474">
        <f t="shared" si="7"/>
        <v>0</v>
      </c>
      <c r="BP23" s="474">
        <f t="shared" si="8"/>
        <v>0</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1</v>
      </c>
      <c r="BY23" s="298">
        <f>IF(BX23=TRUE,0.9,0)</f>
        <v>0.9</v>
      </c>
      <c r="BZ23" s="298" t="b">
        <f t="shared" si="28"/>
        <v>1</v>
      </c>
      <c r="CA23" s="298">
        <f>IF(BZ23=TRUE,-0.7,0)</f>
        <v>-0.7</v>
      </c>
      <c r="CB23" s="331"/>
      <c r="CH23" s="306" t="str">
        <f t="shared" si="30"/>
        <v/>
      </c>
      <c r="CL23" s="306" t="str">
        <f t="shared" si="31"/>
        <v/>
      </c>
    </row>
    <row r="24" spans="1:90" ht="33" customHeight="1">
      <c r="A24" s="922"/>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BLECH?</v>
      </c>
      <c r="AA24" s="347" t="str">
        <f t="shared" si="11"/>
        <v>?Re</v>
      </c>
      <c r="AB24" s="454" t="str">
        <f t="shared" si="12"/>
        <v>Klebstoff?</v>
      </c>
      <c r="AC24" s="348" t="str">
        <f t="shared" si="13"/>
        <v/>
      </c>
      <c r="AD24" s="323" t="str">
        <f t="shared" si="1"/>
        <v/>
      </c>
      <c r="AE24" s="349" t="str">
        <f t="shared" si="14"/>
        <v>Klebstoff?</v>
      </c>
      <c r="AF24" s="480" t="str">
        <f t="shared" si="15"/>
        <v/>
      </c>
      <c r="AG24" s="482" t="str">
        <f t="shared" si="16"/>
        <v/>
      </c>
      <c r="AH24" s="461" t="str">
        <f t="shared" si="2"/>
        <v/>
      </c>
      <c r="AI24" s="350" t="str">
        <f t="shared" si="17"/>
        <v/>
      </c>
      <c r="AJ24" s="350" t="str">
        <f t="shared" si="18"/>
        <v/>
      </c>
      <c r="AK24" s="350" t="str">
        <f t="shared" si="19"/>
        <v/>
      </c>
      <c r="AL24" s="351" t="str">
        <f t="shared" si="20"/>
        <v/>
      </c>
      <c r="AM24" s="695"/>
      <c r="AN24" s="696"/>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922"/>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BLECH?</v>
      </c>
      <c r="AA25" s="347" t="str">
        <f t="shared" si="11"/>
        <v>?Re</v>
      </c>
      <c r="AB25" s="454" t="str">
        <f t="shared" si="12"/>
        <v>Klebstoff?</v>
      </c>
      <c r="AC25" s="348" t="str">
        <f t="shared" si="13"/>
        <v/>
      </c>
      <c r="AD25" s="323" t="str">
        <f t="shared" si="1"/>
        <v/>
      </c>
      <c r="AE25" s="349" t="str">
        <f t="shared" si="14"/>
        <v>Klebstoff?</v>
      </c>
      <c r="AF25" s="480" t="str">
        <f t="shared" si="15"/>
        <v/>
      </c>
      <c r="AG25" s="482" t="str">
        <f t="shared" si="16"/>
        <v/>
      </c>
      <c r="AH25" s="461" t="str">
        <f t="shared" si="2"/>
        <v/>
      </c>
      <c r="AI25" s="350" t="str">
        <f t="shared" si="17"/>
        <v/>
      </c>
      <c r="AJ25" s="350" t="str">
        <f t="shared" si="18"/>
        <v/>
      </c>
      <c r="AK25" s="350" t="str">
        <f t="shared" si="19"/>
        <v/>
      </c>
      <c r="AL25" s="351" t="str">
        <f t="shared" si="20"/>
        <v/>
      </c>
      <c r="AM25" s="695"/>
      <c r="AN25" s="696"/>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922"/>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BLECH?</v>
      </c>
      <c r="AA26" s="347" t="str">
        <f t="shared" si="11"/>
        <v>?Re</v>
      </c>
      <c r="AB26" s="454" t="str">
        <f t="shared" si="12"/>
        <v>Klebstoff?</v>
      </c>
      <c r="AC26" s="348" t="str">
        <f t="shared" si="13"/>
        <v/>
      </c>
      <c r="AD26" s="323" t="str">
        <f>IF(OR(ISBLANK(G26),Z26="BLECH?"),"",IF(AND(BT26="J",G26="C"),60,IF(G26="B",60,IF(G26="R",150,IF(G26="S",90,IF(AND(G26="m",BT26="n"),350,IF(AND(G26="m",BT26="j"),50,MAX(MIN((((P26+S26+V26-1.4)*(600/4.6))+200)+BU26,900),200))))))))</f>
        <v/>
      </c>
      <c r="AE26" s="349" t="str">
        <f t="shared" si="14"/>
        <v>Klebstoff?</v>
      </c>
      <c r="AF26" s="480" t="str">
        <f t="shared" si="15"/>
        <v/>
      </c>
      <c r="AG26" s="482" t="str">
        <f t="shared" si="16"/>
        <v/>
      </c>
      <c r="AH26" s="461" t="str">
        <f t="shared" si="2"/>
        <v/>
      </c>
      <c r="AI26" s="350" t="str">
        <f t="shared" si="17"/>
        <v/>
      </c>
      <c r="AJ26" s="350" t="str">
        <f t="shared" si="18"/>
        <v/>
      </c>
      <c r="AK26" s="350" t="str">
        <f t="shared" si="19"/>
        <v/>
      </c>
      <c r="AL26" s="351" t="str">
        <f t="shared" si="20"/>
        <v/>
      </c>
      <c r="AM26" s="695"/>
      <c r="AN26" s="696"/>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2"/>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BLECH?</v>
      </c>
      <c r="AA27" s="347" t="str">
        <f t="shared" si="11"/>
        <v>?Re</v>
      </c>
      <c r="AB27" s="454" t="str">
        <f t="shared" si="12"/>
        <v>Klebstoff?</v>
      </c>
      <c r="AC27" s="348" t="str">
        <f t="shared" si="13"/>
        <v/>
      </c>
      <c r="AD27" s="323" t="str">
        <f t="shared" ref="AD27:AD43" si="32">IF(OR(ISBLANK(G27),Z27="BLECH?"),"",IF(AND(BT27="J",G27="C"),60,IF(G27="B",60,IF(G27="R",150,IF(G27="S",90,IF(AND(G27="m",BT27="n"),350,IF(AND(G27="m",BT27="j"),50,MAX(MIN((((P27+S27+V27-1.4)*(600/4.6))+200)+BU27,900),200))))))))</f>
        <v/>
      </c>
      <c r="AE27" s="349" t="str">
        <f t="shared" si="14"/>
        <v>Klebstoff?</v>
      </c>
      <c r="AF27" s="480" t="str">
        <f t="shared" si="15"/>
        <v/>
      </c>
      <c r="AG27" s="482" t="str">
        <f t="shared" si="16"/>
        <v/>
      </c>
      <c r="AH27" s="461" t="str">
        <f t="shared" si="2"/>
        <v/>
      </c>
      <c r="AI27" s="350" t="str">
        <f t="shared" si="17"/>
        <v/>
      </c>
      <c r="AJ27" s="350" t="str">
        <f t="shared" si="18"/>
        <v/>
      </c>
      <c r="AK27" s="350" t="str">
        <f t="shared" si="19"/>
        <v/>
      </c>
      <c r="AL27" s="351" t="str">
        <f t="shared" si="20"/>
        <v/>
      </c>
      <c r="AM27" s="695"/>
      <c r="AN27" s="696"/>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2"/>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BLECH?</v>
      </c>
      <c r="AA28" s="347" t="str">
        <f t="shared" si="11"/>
        <v>?Re</v>
      </c>
      <c r="AB28" s="454" t="str">
        <f t="shared" si="12"/>
        <v>Klebstoff?</v>
      </c>
      <c r="AC28" s="348" t="str">
        <f t="shared" si="13"/>
        <v/>
      </c>
      <c r="AD28" s="323" t="str">
        <f t="shared" si="32"/>
        <v/>
      </c>
      <c r="AE28" s="349" t="str">
        <f t="shared" si="14"/>
        <v>Klebstoff?</v>
      </c>
      <c r="AF28" s="480" t="str">
        <f t="shared" si="15"/>
        <v/>
      </c>
      <c r="AG28" s="482" t="str">
        <f t="shared" si="16"/>
        <v/>
      </c>
      <c r="AH28" s="461" t="str">
        <f t="shared" si="2"/>
        <v/>
      </c>
      <c r="AI28" s="350" t="str">
        <f t="shared" si="17"/>
        <v/>
      </c>
      <c r="AJ28" s="350" t="str">
        <f t="shared" si="18"/>
        <v/>
      </c>
      <c r="AK28" s="350" t="str">
        <f t="shared" si="19"/>
        <v/>
      </c>
      <c r="AL28" s="351" t="str">
        <f t="shared" si="20"/>
        <v/>
      </c>
      <c r="AM28" s="695"/>
      <c r="AN28" s="696"/>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2"/>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BLECH?</v>
      </c>
      <c r="AA29" s="347" t="str">
        <f t="shared" si="11"/>
        <v>?Re</v>
      </c>
      <c r="AB29" s="454" t="str">
        <f t="shared" si="12"/>
        <v>Klebstoff?</v>
      </c>
      <c r="AC29" s="348" t="str">
        <f t="shared" si="13"/>
        <v/>
      </c>
      <c r="AD29" s="323" t="str">
        <f t="shared" si="32"/>
        <v/>
      </c>
      <c r="AE29" s="349" t="str">
        <f t="shared" si="14"/>
        <v>Klebstoff?</v>
      </c>
      <c r="AF29" s="480" t="str">
        <f t="shared" si="15"/>
        <v/>
      </c>
      <c r="AG29" s="482" t="str">
        <f t="shared" si="16"/>
        <v/>
      </c>
      <c r="AH29" s="461" t="str">
        <f t="shared" si="2"/>
        <v/>
      </c>
      <c r="AI29" s="350" t="str">
        <f t="shared" si="17"/>
        <v/>
      </c>
      <c r="AJ29" s="350" t="str">
        <f t="shared" si="18"/>
        <v/>
      </c>
      <c r="AK29" s="350" t="str">
        <f t="shared" si="19"/>
        <v/>
      </c>
      <c r="AL29" s="351" t="str">
        <f t="shared" si="20"/>
        <v/>
      </c>
      <c r="AM29" s="695"/>
      <c r="AN29" s="696"/>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2"/>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BLECH?</v>
      </c>
      <c r="AA30" s="347" t="str">
        <f t="shared" si="11"/>
        <v>?Re</v>
      </c>
      <c r="AB30" s="454" t="str">
        <f t="shared" si="12"/>
        <v>Klebstoff?</v>
      </c>
      <c r="AC30" s="348" t="str">
        <f t="shared" si="13"/>
        <v/>
      </c>
      <c r="AD30" s="323" t="str">
        <f t="shared" si="32"/>
        <v/>
      </c>
      <c r="AE30" s="349" t="str">
        <f t="shared" si="14"/>
        <v>Klebstoff?</v>
      </c>
      <c r="AF30" s="480" t="str">
        <f t="shared" si="15"/>
        <v/>
      </c>
      <c r="AG30" s="482" t="str">
        <f t="shared" si="16"/>
        <v/>
      </c>
      <c r="AH30" s="461" t="str">
        <f t="shared" si="2"/>
        <v/>
      </c>
      <c r="AI30" s="350" t="str">
        <f t="shared" si="17"/>
        <v/>
      </c>
      <c r="AJ30" s="350" t="str">
        <f t="shared" si="18"/>
        <v/>
      </c>
      <c r="AK30" s="350" t="str">
        <f t="shared" si="19"/>
        <v/>
      </c>
      <c r="AL30" s="351" t="str">
        <f t="shared" si="20"/>
        <v/>
      </c>
      <c r="AM30" s="695"/>
      <c r="AN30" s="696"/>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2"/>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BLECH?</v>
      </c>
      <c r="AA31" s="347" t="str">
        <f t="shared" si="11"/>
        <v>?Re</v>
      </c>
      <c r="AB31" s="454" t="str">
        <f t="shared" si="12"/>
        <v>Klebstoff?</v>
      </c>
      <c r="AC31" s="348" t="str">
        <f t="shared" si="13"/>
        <v/>
      </c>
      <c r="AD31" s="323" t="str">
        <f t="shared" si="32"/>
        <v/>
      </c>
      <c r="AE31" s="349" t="str">
        <f t="shared" si="14"/>
        <v>Klebstoff?</v>
      </c>
      <c r="AF31" s="480" t="str">
        <f t="shared" si="15"/>
        <v/>
      </c>
      <c r="AG31" s="482" t="str">
        <f t="shared" si="16"/>
        <v/>
      </c>
      <c r="AH31" s="461" t="str">
        <f t="shared" si="2"/>
        <v/>
      </c>
      <c r="AI31" s="350" t="str">
        <f t="shared" si="17"/>
        <v/>
      </c>
      <c r="AJ31" s="350" t="str">
        <f t="shared" si="18"/>
        <v/>
      </c>
      <c r="AK31" s="350" t="str">
        <f t="shared" si="19"/>
        <v/>
      </c>
      <c r="AL31" s="351" t="str">
        <f t="shared" si="20"/>
        <v/>
      </c>
      <c r="AM31" s="695"/>
      <c r="AN31" s="696"/>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2"/>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BLECH?</v>
      </c>
      <c r="AA32" s="347" t="str">
        <f t="shared" si="11"/>
        <v>?Re</v>
      </c>
      <c r="AB32" s="454" t="str">
        <f t="shared" si="12"/>
        <v>Klebstoff?</v>
      </c>
      <c r="AC32" s="348" t="str">
        <f t="shared" si="13"/>
        <v/>
      </c>
      <c r="AD32" s="323" t="str">
        <f t="shared" si="32"/>
        <v/>
      </c>
      <c r="AE32" s="349" t="str">
        <f t="shared" si="14"/>
        <v>Klebstoff?</v>
      </c>
      <c r="AF32" s="480" t="str">
        <f t="shared" si="15"/>
        <v/>
      </c>
      <c r="AG32" s="482" t="str">
        <f t="shared" si="16"/>
        <v/>
      </c>
      <c r="AH32" s="461" t="str">
        <f t="shared" si="2"/>
        <v/>
      </c>
      <c r="AI32" s="350" t="str">
        <f t="shared" si="17"/>
        <v/>
      </c>
      <c r="AJ32" s="350" t="str">
        <f t="shared" si="18"/>
        <v/>
      </c>
      <c r="AK32" s="350" t="str">
        <f t="shared" si="19"/>
        <v/>
      </c>
      <c r="AL32" s="351" t="str">
        <f t="shared" si="20"/>
        <v/>
      </c>
      <c r="AM32" s="695"/>
      <c r="AN32" s="696"/>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2"/>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BLECH?</v>
      </c>
      <c r="AA33" s="347" t="str">
        <f t="shared" si="11"/>
        <v>?Re</v>
      </c>
      <c r="AB33" s="454" t="str">
        <f t="shared" si="12"/>
        <v>Klebstoff?</v>
      </c>
      <c r="AC33" s="348" t="str">
        <f t="shared" si="13"/>
        <v/>
      </c>
      <c r="AD33" s="323" t="str">
        <f t="shared" si="32"/>
        <v/>
      </c>
      <c r="AE33" s="349" t="str">
        <f t="shared" si="14"/>
        <v>Klebstoff?</v>
      </c>
      <c r="AF33" s="480" t="str">
        <f t="shared" si="15"/>
        <v/>
      </c>
      <c r="AG33" s="482" t="str">
        <f t="shared" si="16"/>
        <v/>
      </c>
      <c r="AH33" s="461" t="str">
        <f t="shared" si="2"/>
        <v/>
      </c>
      <c r="AI33" s="350" t="str">
        <f t="shared" si="17"/>
        <v/>
      </c>
      <c r="AJ33" s="350" t="str">
        <f t="shared" si="18"/>
        <v/>
      </c>
      <c r="AK33" s="350" t="str">
        <f t="shared" si="19"/>
        <v/>
      </c>
      <c r="AL33" s="351" t="str">
        <f t="shared" si="20"/>
        <v/>
      </c>
      <c r="AM33" s="695"/>
      <c r="AN33" s="696"/>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2"/>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BLECH?</v>
      </c>
      <c r="AA34" s="347" t="str">
        <f t="shared" si="11"/>
        <v>?Re</v>
      </c>
      <c r="AB34" s="454" t="str">
        <f t="shared" si="12"/>
        <v>Klebstoff?</v>
      </c>
      <c r="AC34" s="348" t="str">
        <f t="shared" si="13"/>
        <v/>
      </c>
      <c r="AD34" s="323" t="str">
        <f t="shared" si="32"/>
        <v/>
      </c>
      <c r="AE34" s="349" t="str">
        <f t="shared" si="14"/>
        <v>Klebstoff?</v>
      </c>
      <c r="AF34" s="480" t="str">
        <f t="shared" si="15"/>
        <v/>
      </c>
      <c r="AG34" s="482" t="str">
        <f t="shared" si="16"/>
        <v/>
      </c>
      <c r="AH34" s="461" t="str">
        <f t="shared" si="2"/>
        <v/>
      </c>
      <c r="AI34" s="350" t="str">
        <f t="shared" si="17"/>
        <v/>
      </c>
      <c r="AJ34" s="350" t="str">
        <f t="shared" si="18"/>
        <v/>
      </c>
      <c r="AK34" s="350" t="str">
        <f t="shared" si="19"/>
        <v/>
      </c>
      <c r="AL34" s="351" t="str">
        <f t="shared" si="20"/>
        <v/>
      </c>
      <c r="AM34" s="695"/>
      <c r="AN34" s="696"/>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2"/>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BLECH?</v>
      </c>
      <c r="AA35" s="347" t="str">
        <f t="shared" si="11"/>
        <v>?Re</v>
      </c>
      <c r="AB35" s="454" t="str">
        <f t="shared" si="12"/>
        <v>Klebstoff?</v>
      </c>
      <c r="AC35" s="348" t="str">
        <f t="shared" si="13"/>
        <v/>
      </c>
      <c r="AD35" s="323" t="str">
        <f t="shared" si="32"/>
        <v/>
      </c>
      <c r="AE35" s="349" t="str">
        <f t="shared" si="14"/>
        <v>Klebstoff?</v>
      </c>
      <c r="AF35" s="480" t="str">
        <f t="shared" si="15"/>
        <v/>
      </c>
      <c r="AG35" s="482" t="str">
        <f t="shared" si="16"/>
        <v/>
      </c>
      <c r="AH35" s="461" t="str">
        <f t="shared" si="2"/>
        <v/>
      </c>
      <c r="AI35" s="350" t="str">
        <f t="shared" si="17"/>
        <v/>
      </c>
      <c r="AJ35" s="350" t="str">
        <f t="shared" si="18"/>
        <v/>
      </c>
      <c r="AK35" s="350" t="str">
        <f t="shared" si="19"/>
        <v/>
      </c>
      <c r="AL35" s="351" t="str">
        <f t="shared" si="20"/>
        <v/>
      </c>
      <c r="AM35" s="695"/>
      <c r="AN35" s="696"/>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2"/>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BLECH?</v>
      </c>
      <c r="AA36" s="347" t="str">
        <f t="shared" si="11"/>
        <v>?Re</v>
      </c>
      <c r="AB36" s="454" t="str">
        <f t="shared" si="12"/>
        <v>Klebstoff?</v>
      </c>
      <c r="AC36" s="348" t="str">
        <f t="shared" si="13"/>
        <v/>
      </c>
      <c r="AD36" s="323" t="str">
        <f t="shared" si="32"/>
        <v/>
      </c>
      <c r="AE36" s="349" t="str">
        <f t="shared" si="14"/>
        <v>Klebstoff?</v>
      </c>
      <c r="AF36" s="480" t="str">
        <f t="shared" si="15"/>
        <v/>
      </c>
      <c r="AG36" s="482" t="str">
        <f t="shared" si="16"/>
        <v/>
      </c>
      <c r="AH36" s="461" t="str">
        <f t="shared" si="2"/>
        <v/>
      </c>
      <c r="AI36" s="350" t="str">
        <f t="shared" si="17"/>
        <v/>
      </c>
      <c r="AJ36" s="350" t="str">
        <f t="shared" si="18"/>
        <v/>
      </c>
      <c r="AK36" s="350" t="str">
        <f t="shared" si="19"/>
        <v/>
      </c>
      <c r="AL36" s="351" t="str">
        <f t="shared" si="20"/>
        <v/>
      </c>
      <c r="AM36" s="695"/>
      <c r="AN36" s="696"/>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2"/>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BLECH?</v>
      </c>
      <c r="AA37" s="347" t="str">
        <f t="shared" si="11"/>
        <v>?Re</v>
      </c>
      <c r="AB37" s="454" t="str">
        <f t="shared" si="12"/>
        <v>Klebstoff?</v>
      </c>
      <c r="AC37" s="348" t="str">
        <f t="shared" si="13"/>
        <v/>
      </c>
      <c r="AD37" s="323" t="str">
        <f t="shared" si="32"/>
        <v/>
      </c>
      <c r="AE37" s="349" t="str">
        <f t="shared" si="14"/>
        <v>Klebstoff?</v>
      </c>
      <c r="AF37" s="480" t="str">
        <f t="shared" si="15"/>
        <v/>
      </c>
      <c r="AG37" s="482" t="str">
        <f t="shared" si="16"/>
        <v/>
      </c>
      <c r="AH37" s="461" t="str">
        <f t="shared" si="2"/>
        <v/>
      </c>
      <c r="AI37" s="350" t="str">
        <f t="shared" si="17"/>
        <v/>
      </c>
      <c r="AJ37" s="350" t="str">
        <f t="shared" si="18"/>
        <v/>
      </c>
      <c r="AK37" s="350" t="str">
        <f t="shared" si="19"/>
        <v/>
      </c>
      <c r="AL37" s="351" t="str">
        <f t="shared" si="20"/>
        <v/>
      </c>
      <c r="AM37" s="695"/>
      <c r="AN37" s="696"/>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2"/>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BLECH?</v>
      </c>
      <c r="AA38" s="347" t="str">
        <f t="shared" si="11"/>
        <v>?Re</v>
      </c>
      <c r="AB38" s="454" t="str">
        <f t="shared" si="12"/>
        <v>Klebstoff?</v>
      </c>
      <c r="AC38" s="348" t="str">
        <f t="shared" si="13"/>
        <v/>
      </c>
      <c r="AD38" s="323" t="str">
        <f t="shared" si="32"/>
        <v/>
      </c>
      <c r="AE38" s="349" t="str">
        <f t="shared" si="14"/>
        <v>Klebstoff?</v>
      </c>
      <c r="AF38" s="480" t="str">
        <f t="shared" si="15"/>
        <v/>
      </c>
      <c r="AG38" s="482" t="str">
        <f t="shared" si="16"/>
        <v/>
      </c>
      <c r="AH38" s="461" t="str">
        <f t="shared" si="2"/>
        <v/>
      </c>
      <c r="AI38" s="350" t="str">
        <f t="shared" si="17"/>
        <v/>
      </c>
      <c r="AJ38" s="350" t="str">
        <f t="shared" si="18"/>
        <v/>
      </c>
      <c r="AK38" s="350" t="str">
        <f t="shared" si="19"/>
        <v/>
      </c>
      <c r="AL38" s="351" t="str">
        <f t="shared" si="20"/>
        <v/>
      </c>
      <c r="AM38" s="695"/>
      <c r="AN38" s="696"/>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2"/>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BLECH?</v>
      </c>
      <c r="AA39" s="347" t="str">
        <f t="shared" si="11"/>
        <v>?Re</v>
      </c>
      <c r="AB39" s="454" t="str">
        <f t="shared" si="12"/>
        <v>Klebstoff?</v>
      </c>
      <c r="AC39" s="348" t="str">
        <f t="shared" si="13"/>
        <v/>
      </c>
      <c r="AD39" s="323" t="str">
        <f t="shared" si="32"/>
        <v/>
      </c>
      <c r="AE39" s="349" t="str">
        <f t="shared" si="14"/>
        <v>Klebstoff?</v>
      </c>
      <c r="AF39" s="480" t="str">
        <f t="shared" si="15"/>
        <v/>
      </c>
      <c r="AG39" s="482" t="str">
        <f t="shared" si="16"/>
        <v/>
      </c>
      <c r="AH39" s="461" t="str">
        <f t="shared" si="2"/>
        <v/>
      </c>
      <c r="AI39" s="350" t="str">
        <f t="shared" si="17"/>
        <v/>
      </c>
      <c r="AJ39" s="350" t="str">
        <f t="shared" si="18"/>
        <v/>
      </c>
      <c r="AK39" s="350" t="str">
        <f t="shared" si="19"/>
        <v/>
      </c>
      <c r="AL39" s="351" t="str">
        <f t="shared" si="20"/>
        <v/>
      </c>
      <c r="AM39" s="695"/>
      <c r="AN39" s="696"/>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2"/>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BLECH?</v>
      </c>
      <c r="AA40" s="347" t="str">
        <f t="shared" si="11"/>
        <v>?Re</v>
      </c>
      <c r="AB40" s="454" t="str">
        <f t="shared" si="12"/>
        <v>Klebstoff?</v>
      </c>
      <c r="AC40" s="348" t="str">
        <f t="shared" si="13"/>
        <v/>
      </c>
      <c r="AD40" s="323" t="str">
        <f t="shared" si="32"/>
        <v/>
      </c>
      <c r="AE40" s="349" t="str">
        <f t="shared" si="14"/>
        <v>Klebstoff?</v>
      </c>
      <c r="AF40" s="480" t="str">
        <f t="shared" si="15"/>
        <v/>
      </c>
      <c r="AG40" s="482" t="str">
        <f t="shared" si="16"/>
        <v/>
      </c>
      <c r="AH40" s="461" t="str">
        <f t="shared" si="2"/>
        <v/>
      </c>
      <c r="AI40" s="350" t="str">
        <f t="shared" si="17"/>
        <v/>
      </c>
      <c r="AJ40" s="350" t="str">
        <f t="shared" si="18"/>
        <v/>
      </c>
      <c r="AK40" s="350" t="str">
        <f t="shared" si="19"/>
        <v/>
      </c>
      <c r="AL40" s="351" t="str">
        <f t="shared" si="20"/>
        <v/>
      </c>
      <c r="AM40" s="695"/>
      <c r="AN40" s="696"/>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2"/>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BLECH?</v>
      </c>
      <c r="AA41" s="347" t="str">
        <f t="shared" si="11"/>
        <v>?Re</v>
      </c>
      <c r="AB41" s="454" t="str">
        <f t="shared" si="12"/>
        <v>Klebstoff?</v>
      </c>
      <c r="AC41" s="348" t="str">
        <f t="shared" si="13"/>
        <v/>
      </c>
      <c r="AD41" s="323" t="str">
        <f t="shared" si="32"/>
        <v/>
      </c>
      <c r="AE41" s="349" t="str">
        <f t="shared" si="14"/>
        <v>Klebstoff?</v>
      </c>
      <c r="AF41" s="480" t="str">
        <f t="shared" si="15"/>
        <v/>
      </c>
      <c r="AG41" s="482" t="str">
        <f t="shared" si="16"/>
        <v/>
      </c>
      <c r="AH41" s="461" t="str">
        <f t="shared" si="2"/>
        <v/>
      </c>
      <c r="AI41" s="350" t="str">
        <f t="shared" si="17"/>
        <v/>
      </c>
      <c r="AJ41" s="350" t="str">
        <f t="shared" si="18"/>
        <v/>
      </c>
      <c r="AK41" s="350" t="str">
        <f t="shared" si="19"/>
        <v/>
      </c>
      <c r="AL41" s="351" t="str">
        <f t="shared" si="20"/>
        <v/>
      </c>
      <c r="AM41" s="695"/>
      <c r="AN41" s="696"/>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2"/>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BLECH?</v>
      </c>
      <c r="AA42" s="347" t="str">
        <f t="shared" si="11"/>
        <v>?Re</v>
      </c>
      <c r="AB42" s="454" t="str">
        <f t="shared" si="12"/>
        <v>Klebstoff?</v>
      </c>
      <c r="AC42" s="348" t="str">
        <f t="shared" si="13"/>
        <v/>
      </c>
      <c r="AD42" s="323" t="str">
        <f t="shared" si="32"/>
        <v/>
      </c>
      <c r="AE42" s="349" t="str">
        <f t="shared" si="14"/>
        <v>Klebstoff?</v>
      </c>
      <c r="AF42" s="480" t="str">
        <f t="shared" si="15"/>
        <v/>
      </c>
      <c r="AG42" s="482" t="str">
        <f t="shared" si="16"/>
        <v/>
      </c>
      <c r="AH42" s="461" t="str">
        <f t="shared" si="2"/>
        <v/>
      </c>
      <c r="AI42" s="350" t="str">
        <f t="shared" si="17"/>
        <v/>
      </c>
      <c r="AJ42" s="350" t="str">
        <f t="shared" si="18"/>
        <v/>
      </c>
      <c r="AK42" s="350" t="str">
        <f t="shared" si="19"/>
        <v/>
      </c>
      <c r="AL42" s="351" t="str">
        <f t="shared" si="20"/>
        <v/>
      </c>
      <c r="AM42" s="695"/>
      <c r="AN42" s="696"/>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2"/>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BLECH?</v>
      </c>
      <c r="AA43" s="361" t="str">
        <f t="shared" si="11"/>
        <v>?Re</v>
      </c>
      <c r="AB43" s="362" t="str">
        <f t="shared" si="12"/>
        <v>Klebstoff?</v>
      </c>
      <c r="AC43" s="445" t="str">
        <f t="shared" si="13"/>
        <v/>
      </c>
      <c r="AD43" s="323" t="str">
        <f t="shared" si="32"/>
        <v/>
      </c>
      <c r="AE43" s="363" t="str">
        <f t="shared" si="14"/>
        <v>Klebstoff?</v>
      </c>
      <c r="AF43" s="480" t="str">
        <f t="shared" si="15"/>
        <v/>
      </c>
      <c r="AG43" s="483" t="str">
        <f t="shared" si="16"/>
        <v/>
      </c>
      <c r="AH43" s="461" t="str">
        <f t="shared" si="2"/>
        <v/>
      </c>
      <c r="AI43" s="364" t="str">
        <f t="shared" si="17"/>
        <v/>
      </c>
      <c r="AJ43" s="364" t="str">
        <f t="shared" si="18"/>
        <v/>
      </c>
      <c r="AK43" s="364" t="str">
        <f t="shared" si="19"/>
        <v/>
      </c>
      <c r="AL43" s="365" t="str">
        <f t="shared" si="20"/>
        <v/>
      </c>
      <c r="AM43" s="697"/>
      <c r="AN43" s="698"/>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2"/>
      <c r="B44" s="281"/>
      <c r="C44" s="820" t="str">
        <f>IF($E$6="DE","Zylinderdurchmesser [mm]                 (nur für SPZ)","Cylinder Diameter (mm)              (only for SPZ)")</f>
        <v>Zylinderdurchmesser [mm]                 (nur für SPZ)</v>
      </c>
      <c r="D44" s="821"/>
      <c r="E44" s="823"/>
      <c r="F44" s="818" t="str">
        <f>IF($E$6="DE","Schweißkraft min. [N]","Welding Force min. [N]")</f>
        <v>Schweißkraft min. [N]</v>
      </c>
      <c r="G44" s="819"/>
      <c r="H44" s="411">
        <f>IF(AND(AN45="JA",ISTEXT(AG47),ISNUMBER(AL47)),(IF(G6="RZ",ROUNDDOWN(MIN(AE19:AE43)*1000,-2),IF(G6="SPZ",ROUNDDOWN(MIN(AE19:AE43)*1000,-2),"Zangentyp?"))),(IF(G6="RZ",ROUNDDOWN(MIN(AB19:AB43)*1000,-2),IF(G6="SPZ",ROUNDDOWN(MIN(AB19:AB43)*1000,-2),"Zangentyp?"))))</f>
        <v>2900</v>
      </c>
      <c r="I44" s="818" t="str">
        <f>IF($E$6="DE","Ausladung [mm]","Distance to Tip [mm]")</f>
        <v>Ausladung [mm]</v>
      </c>
      <c r="J44" s="834"/>
      <c r="K44" s="833"/>
      <c r="L44" s="412"/>
      <c r="M44" s="818" t="str">
        <f>IF($E$6="DE","Zylinderkraft min. [N]","Cyl. Force min. [N]")</f>
        <v>Zylinderkraft min. [N]</v>
      </c>
      <c r="N44" s="833"/>
      <c r="O44" s="413">
        <f>IF(G8="J",(H44/L46)*2,H44/L46)</f>
        <v>2900</v>
      </c>
      <c r="P44" s="818" t="str">
        <f>IF($E$6="DE","Zylinderdruck min. [bar]","Cyl. Pressure min. [bar]")</f>
        <v>Zylinderdruck min. [bar]</v>
      </c>
      <c r="Q44" s="833"/>
      <c r="R44" s="982" t="e">
        <f>10*O44/(H46*E46)</f>
        <v>#DIV/0!</v>
      </c>
      <c r="S44" s="983"/>
      <c r="T44" s="1001" t="str">
        <f>IF(AND($E$6="DE",G6="RZ"),"Ergebnis Zangen-/Motorauslegung",IF(AND($E$6="ENG",G6="RZ"),"Result Gun/Motor Design",IF(AND($E$6="DE",G6="SPZ"),"Ergebnis zwischen 1,0 bar und 10 bar:",IF(AND($E$6="ENG",G6="SPZ"),"Result between 1,0 bar and 10 bar:","-"))))</f>
        <v>Ergebnis zwischen 1,0 bar und 10 bar:</v>
      </c>
      <c r="U44" s="1002"/>
      <c r="V44" s="1002"/>
      <c r="W44" s="1003"/>
      <c r="X44" s="946" t="str">
        <f>IF($E$6="DE","benötigte Elektrodenkappen für Schweißzange","required Electrode Caps for Gun")</f>
        <v>benötigte Elektrodenkappen für Schweißzange</v>
      </c>
      <c r="Y44" s="947"/>
      <c r="Z44" s="948"/>
      <c r="AA44" s="1012" t="str">
        <f>IF($E$6="DE","benötigtes Fräsmesser","required Tip Dresser")</f>
        <v>benötigtes Fräsmesser</v>
      </c>
      <c r="AB44" s="949"/>
      <c r="AC44" s="949"/>
      <c r="AD44" s="949"/>
      <c r="AE44" s="1006" t="str">
        <f>IF(AND(AN45="JA",COUNTIF(BS19:BS43,TRUE)=0),"kein VW50066/TL4225 außen vorhanden, bitte auf 'Nein' zurückschalten / No VW50066/TL4225 outside detected, please switch back to 'Nein' ","")</f>
        <v/>
      </c>
      <c r="AF44" s="1007"/>
      <c r="AG44" s="1007"/>
      <c r="AH44" s="1007"/>
      <c r="AI44" s="1007"/>
      <c r="AJ44" s="1007"/>
      <c r="AK44" s="1007"/>
      <c r="AL44" s="1007"/>
      <c r="AM44" s="1007"/>
      <c r="AN44" s="1008"/>
      <c r="AO44" s="909" t="str">
        <f>IF($E$6="DE","Legende der Indizes:","Legend of Indices")</f>
        <v>Legende der Indizes:</v>
      </c>
      <c r="AP44" s="681"/>
      <c r="AQ44" s="681"/>
      <c r="AR44" s="681"/>
      <c r="AS44" s="681"/>
      <c r="AT44" s="681"/>
      <c r="AU44" s="681"/>
      <c r="AV44" s="681"/>
      <c r="AW44" s="681"/>
      <c r="AX44" s="681"/>
      <c r="AY44" s="681"/>
      <c r="AZ44" s="681"/>
      <c r="BA44" s="681"/>
      <c r="BB44" s="682"/>
      <c r="BC44" s="282"/>
      <c r="BD44" s="282"/>
      <c r="BE44" s="282"/>
      <c r="BF44" s="282">
        <f>COUNTIF(BF19:BF43,"Ja")</f>
        <v>0</v>
      </c>
    </row>
    <row r="45" spans="1:90" ht="25.5" customHeight="1" thickBot="1">
      <c r="A45" s="922"/>
      <c r="B45" s="281"/>
      <c r="C45" s="822"/>
      <c r="D45" s="819"/>
      <c r="E45" s="824"/>
      <c r="F45" s="825" t="str">
        <f>IF($E$6="DE","Schweißkraft max. [N]","Welding Force max. [N]")</f>
        <v>Schweißkraft max. [N]</v>
      </c>
      <c r="G45" s="826"/>
      <c r="H45" s="414">
        <f>IF(AND(AN45="Ja",ISTEXT(AG47),ISNUMBER(AL47)),(IF(ROUNDUP(MAX(AE19:AE43)*2300,-3)&gt;5000,(ROUNDUP(MAX(AE19:AE43)*2300,-3)/2),2500)),(IF(ROUNDUP(MAX(AB19:AB43)*2200,-3)&gt;5000,(ROUNDUP(MAX(AB19:AB43)*2200,-3)/2),IF(BL9=TRUE,1100,2500))))</f>
        <v>5000</v>
      </c>
      <c r="I45" s="825" t="str">
        <f>IF(G6="RZ",IF($E$6="DE","Abstand Motor [mm]","Distance to Motor [mm]"),IF($E$6="DE","Abstand Zylinder [mm]","Distance to Cylinder [mm]"))</f>
        <v>Abstand Zylinder [mm]</v>
      </c>
      <c r="J45" s="835"/>
      <c r="K45" s="826"/>
      <c r="L45" s="415"/>
      <c r="M45" s="827" t="str">
        <f>IF($E$6="DE","Zylinderkraft max.[N]","Cyl. Force max.[N]")</f>
        <v>Zylinderkraft max.[N]</v>
      </c>
      <c r="N45" s="828"/>
      <c r="O45" s="416">
        <f>IF(G8="J",(H45/L46)*2,H45/L46)</f>
        <v>5000</v>
      </c>
      <c r="P45" s="827" t="str">
        <f>IF($E$6="DE","Zylinderdruck max. [bar]","Cyl. Pressure max. [bar]")</f>
        <v>Zylinderdruck max. [bar]</v>
      </c>
      <c r="Q45" s="828"/>
      <c r="R45" s="980" t="e">
        <f>10*O45/(H46*E46)</f>
        <v>#DIV/0!</v>
      </c>
      <c r="S45" s="981"/>
      <c r="T45" s="1009" t="e">
        <f>IF(G6="RZ",BH49,IF(G6="SPZ",BH46,IF(G6="-","Zangentyp/Guntype?")))</f>
        <v>#DIV/0!</v>
      </c>
      <c r="U45" s="1010"/>
      <c r="V45" s="1010"/>
      <c r="W45" s="1011"/>
      <c r="X45" s="949"/>
      <c r="Y45" s="949"/>
      <c r="Z45" s="950"/>
      <c r="AA45" s="417" t="s">
        <v>1178</v>
      </c>
      <c r="AB45" s="418" t="s">
        <v>1180</v>
      </c>
      <c r="AC45" s="418" t="s">
        <v>1179</v>
      </c>
      <c r="AD45" s="419" t="s">
        <v>1181</v>
      </c>
      <c r="AE45" s="674" t="str">
        <f>IF(E6="DE","Zangenauslegung abweichend zu 59D 6770                               (Auslegung nach reduzierter Schweißkraft
                 bei VW50066/TL4225- Material außen)","Dimensioning of Welding Gun deviant from 59D 6770
           (Dimensioning with reduced Welding Force at                       VW50066/TL4225-Material outside)")</f>
        <v>Zangenauslegung abweichend zu 59D 6770                               (Auslegung nach reduzierter Schweißkraft
                 bei VW50066/TL4225- Material außen)</v>
      </c>
      <c r="AF45" s="675"/>
      <c r="AG45" s="675"/>
      <c r="AH45" s="675"/>
      <c r="AI45" s="675"/>
      <c r="AJ45" s="675"/>
      <c r="AK45" s="675"/>
      <c r="AL45" s="675"/>
      <c r="AM45" s="675"/>
      <c r="AN45" s="941" t="s">
        <v>1277</v>
      </c>
      <c r="AO45" s="910"/>
      <c r="AP45" s="911"/>
      <c r="AQ45" s="911"/>
      <c r="AR45" s="911"/>
      <c r="AS45" s="911"/>
      <c r="AT45" s="911"/>
      <c r="AU45" s="911"/>
      <c r="AV45" s="911"/>
      <c r="AW45" s="911"/>
      <c r="AX45" s="911"/>
      <c r="AY45" s="911"/>
      <c r="AZ45" s="911"/>
      <c r="BA45" s="911"/>
      <c r="BB45" s="912"/>
      <c r="BC45" s="282"/>
      <c r="BD45" s="282"/>
      <c r="BE45" s="282"/>
      <c r="BF45" s="282"/>
      <c r="BH45" s="903" t="s">
        <v>1189</v>
      </c>
      <c r="BI45" s="904"/>
    </row>
    <row r="46" spans="1:90" ht="35.25" customHeight="1" thickBot="1">
      <c r="A46" s="922"/>
      <c r="B46" s="281"/>
      <c r="C46" s="827" t="str">
        <f>IF($E$6="DE","Zylinderwirkungsgrad                           (nur für SPZ)","Cylinder Efficiency                                  (only for SPZ)")</f>
        <v>Zylinderwirkungsgrad                           (nur für SPZ)</v>
      </c>
      <c r="D46" s="828"/>
      <c r="E46" s="416">
        <v>0.95</v>
      </c>
      <c r="F46" s="827" t="str">
        <f>IF($E$6="DE","Zylinderfläche [mm²] (nur für SPZ)","Cylinder Surface [mm²] (only for SPZ)")</f>
        <v>Zylinderfläche [mm²] (nur für SPZ)</v>
      </c>
      <c r="G46" s="828"/>
      <c r="H46" s="420">
        <f>IF(E45="T",2*PI()/4*POWER(E44,2),PI()/4*POWER(E44,2))</f>
        <v>0</v>
      </c>
      <c r="I46" s="974" t="str">
        <f>IF($E$6="DE","Ausladung/ Abstand","Leverage Ratio")</f>
        <v>Ausladung/ Abstand</v>
      </c>
      <c r="J46" s="975"/>
      <c r="K46" s="976"/>
      <c r="L46" s="421">
        <f>IF(G19="X",L45/L44,1)</f>
        <v>1</v>
      </c>
      <c r="M46" s="829" t="str">
        <f>IF($E$6="DE","notwendige Motorkraft min. [N]","requiered Motor Force min. [N]")</f>
        <v>notwendige Motorkraft min. [N]</v>
      </c>
      <c r="N46" s="830"/>
      <c r="O46" s="422">
        <f>IF(G8="J",(H44/L46)*2,H44/L46)</f>
        <v>2900</v>
      </c>
      <c r="P46" s="829" t="str">
        <f>IF($E$6="DE","erreichbare Motorkraft min. [N]","feasible Motor Force min. [N]")</f>
        <v>erreichbare Motorkraft min. [N]</v>
      </c>
      <c r="Q46" s="830"/>
      <c r="R46" s="991" t="str">
        <f>IF(ISNA(VLOOKUP(CONCATENATE(E47,H47,L47),Motordaten!D3:H45,3,FALSE)),"",VLOOKUP(CONCATENATE(E47,H47,L47),Motordaten!D3:H45,3,FALSE))</f>
        <v/>
      </c>
      <c r="S46" s="992"/>
      <c r="T46" s="995" t="e">
        <f>IF(G6="RZ",BH50,IF(G6="SPZ",BH47," "))</f>
        <v>#DIV/0!</v>
      </c>
      <c r="U46" s="996"/>
      <c r="V46" s="996"/>
      <c r="W46" s="997"/>
      <c r="X46" s="943"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4"/>
      <c r="Z46" s="945"/>
      <c r="AA46" s="423">
        <f>IF(AND(X46="39D 1978-2",MAX(AI19:AI43)=8),8,(VLOOKUP(X46,AH19:AL43,2,FALSE)))</f>
        <v>6</v>
      </c>
      <c r="AB46" s="424">
        <f>VLOOKUP(X46,AH19:AL43,3,FALSE)</f>
        <v>50</v>
      </c>
      <c r="AC46" s="425">
        <f>IF(AND(X46="39D 1978-2",MAX(AK19:AK43)=8),8,(VLOOKUP(X46,AH19:AL43,4,FALSE)))</f>
        <v>6</v>
      </c>
      <c r="AD46" s="426">
        <f>VLOOKUP(X46,AH19:AL43,5,FALSE)</f>
        <v>50</v>
      </c>
      <c r="AE46" s="676"/>
      <c r="AF46" s="677"/>
      <c r="AG46" s="677"/>
      <c r="AH46" s="677"/>
      <c r="AI46" s="677"/>
      <c r="AJ46" s="677"/>
      <c r="AK46" s="677"/>
      <c r="AL46" s="677"/>
      <c r="AM46" s="677"/>
      <c r="AN46" s="942"/>
      <c r="AO46" s="913"/>
      <c r="AP46" s="914"/>
      <c r="AQ46" s="914"/>
      <c r="AR46" s="914"/>
      <c r="AS46" s="914"/>
      <c r="AT46" s="914"/>
      <c r="AU46" s="914"/>
      <c r="AV46" s="914"/>
      <c r="AW46" s="914"/>
      <c r="AX46" s="914"/>
      <c r="AY46" s="914"/>
      <c r="AZ46" s="914"/>
      <c r="BA46" s="914"/>
      <c r="BB46" s="915"/>
      <c r="BC46" s="282"/>
      <c r="BD46" s="282"/>
      <c r="BE46" s="282"/>
      <c r="BF46" s="282"/>
      <c r="BH46" s="901"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902"/>
      <c r="BJ46" s="279" t="s">
        <v>1708</v>
      </c>
    </row>
    <row r="47" spans="1:90" ht="42.75" customHeight="1" thickBot="1">
      <c r="A47" s="922"/>
      <c r="B47" s="281"/>
      <c r="C47" s="816" t="str">
        <f>IF($E$6="DE","Roboterhersteller                                          (nur für RZ)","Robot Supplier                                  (only for RZ)")</f>
        <v>Roboterhersteller                                          (nur für RZ)</v>
      </c>
      <c r="D47" s="817"/>
      <c r="E47" s="427"/>
      <c r="F47" s="816" t="str">
        <f>IF($E$6="DE","Zangengrundkörper               (nur für RZ)","Weld Gun Basic Body (only for RZ)")</f>
        <v>Zangengrundkörper               (nur für RZ)</v>
      </c>
      <c r="G47" s="817"/>
      <c r="H47" s="427"/>
      <c r="I47" s="977" t="str">
        <f>IF($E$6="DE","Motorhersteller                           (nur für RZ)","Motor Supplier                        (only for RZ)")</f>
        <v>Motorhersteller                           (nur für RZ)</v>
      </c>
      <c r="J47" s="978"/>
      <c r="K47" s="979"/>
      <c r="L47" s="427"/>
      <c r="M47" s="831" t="str">
        <f>IF($E$6="DE","notwendige Motorkraft max. [N]","requiered Motor Force max. [N]")</f>
        <v>notwendige Motorkraft max. [N]</v>
      </c>
      <c r="N47" s="832"/>
      <c r="O47" s="428">
        <f>IF(G8="J",(H45/L46)*2,H45/L46)</f>
        <v>5000</v>
      </c>
      <c r="P47" s="831" t="str">
        <f>IF($E$6="DE","erreichbare Motorkraft max. [N]"," feasible  Motor Force max. [N]")</f>
        <v>erreichbare Motorkraft max. [N]</v>
      </c>
      <c r="Q47" s="832"/>
      <c r="R47" s="993" t="str">
        <f>IF(ISNA(VLOOKUP(CONCATENATE(E47,H47,L47),Motordaten!D3:H45,4,FALSE)),"",VLOOKUP(CONCATENATE(E47,H47,L47),Motordaten!D3:H45,4,FALSE))</f>
        <v/>
      </c>
      <c r="S47" s="994"/>
      <c r="T47" s="998" t="str">
        <f>IF($E$6="DE","Max.Elektrodenkraft lt.Zeichnung[N]","Max.Electrode-Force acc.to Drw.[N]")</f>
        <v>Max.Elektrodenkraft lt.Zeichnung[N]</v>
      </c>
      <c r="U47" s="999"/>
      <c r="V47" s="1000"/>
      <c r="W47" s="429">
        <v>5000</v>
      </c>
      <c r="X47" s="892" t="str">
        <f>IF($E$6="DE","Motorbezeichnung:","Designation of Motor")</f>
        <v>Motorbezeichnung:</v>
      </c>
      <c r="Y47" s="893"/>
      <c r="Z47" s="894"/>
      <c r="AA47" s="892" t="str">
        <f>_xlfn.IFNA(VLOOKUP(CONCATENATE(E47,H47,L47),Motordaten!D3:H45,2,FALSE),IF(E6="DE","Kein Motortyp gefunden","no motortype found"))</f>
        <v>Kein Motortyp gefunden</v>
      </c>
      <c r="AB47" s="893"/>
      <c r="AC47" s="893"/>
      <c r="AD47" s="894"/>
      <c r="AE47" s="741" t="str">
        <f>IF(E6="DE", "Name:                         (Abteilung)","Name                        (Dept.)")</f>
        <v>Name:                         (Abteilung)</v>
      </c>
      <c r="AF47" s="742"/>
      <c r="AG47" s="883"/>
      <c r="AH47" s="884"/>
      <c r="AI47" s="885"/>
      <c r="AJ47" s="879" t="str">
        <f>IF(E6="DE", "Datum","Date")</f>
        <v>Datum</v>
      </c>
      <c r="AK47" s="742"/>
      <c r="AL47" s="880"/>
      <c r="AM47" s="881"/>
      <c r="AN47" s="882"/>
      <c r="AO47" s="913"/>
      <c r="AP47" s="914"/>
      <c r="AQ47" s="914"/>
      <c r="AR47" s="914"/>
      <c r="AS47" s="914"/>
      <c r="AT47" s="914"/>
      <c r="AU47" s="914"/>
      <c r="AV47" s="914"/>
      <c r="AW47" s="914"/>
      <c r="AX47" s="914"/>
      <c r="AY47" s="914"/>
      <c r="AZ47" s="914"/>
      <c r="BA47" s="914"/>
      <c r="BB47" s="915"/>
      <c r="BC47" s="282"/>
      <c r="BD47" s="282"/>
      <c r="BE47" s="282"/>
      <c r="BF47" s="282"/>
      <c r="BH47" s="901" t="e">
        <f>IF($E$6="DE",IF(AND(R44&gt;=0.99,R44&lt;10,R45&gt;=0.99,R45&lt;10)," ","Rücksprache Prozessmethodik"),IF(AND(R44&gt;=0.99,R44&lt;10,R45&gt;=0.99,R45&lt;10)," ","consult Process Methodology"))</f>
        <v>#DIV/0!</v>
      </c>
      <c r="BI47" s="902"/>
      <c r="BJ47" s="279" t="s">
        <v>1708</v>
      </c>
    </row>
    <row r="48" spans="1:90" ht="12">
      <c r="A48" s="922"/>
      <c r="B48" s="281"/>
      <c r="C48" s="810"/>
      <c r="D48" s="811"/>
      <c r="E48" s="811"/>
      <c r="F48" s="812"/>
      <c r="G48" s="867" t="s">
        <v>0</v>
      </c>
      <c r="H48" s="868"/>
      <c r="I48" s="868"/>
      <c r="J48" s="869"/>
      <c r="K48" s="870" t="s">
        <v>12</v>
      </c>
      <c r="L48" s="871"/>
      <c r="M48" s="872" t="str">
        <f>IF(ISBLANK('Blatt 0'!O55),"Blatt 0!",'Blatt 0'!O55)</f>
        <v>1520</v>
      </c>
      <c r="N48" s="873"/>
      <c r="O48" s="853" t="s">
        <v>13</v>
      </c>
      <c r="P48" s="876" t="s">
        <v>2</v>
      </c>
      <c r="Q48" s="877"/>
      <c r="R48" s="962" t="str">
        <f>IF(ISBLANK('Blatt 0'!X55),"Blatt 0!",'Blatt 0'!X55)</f>
        <v>GME</v>
      </c>
      <c r="S48" s="963"/>
      <c r="T48" s="963"/>
      <c r="U48" s="963"/>
      <c r="V48" s="964"/>
      <c r="W48" s="371" t="s">
        <v>42</v>
      </c>
      <c r="X48" s="927">
        <f>IF(ISBLANK('Blatt 0'!AB55),"Blatt 0!",'Blatt 0'!AB55)</f>
        <v>2</v>
      </c>
      <c r="Y48" s="928"/>
      <c r="Z48" s="929"/>
      <c r="AA48" s="372"/>
      <c r="AB48" s="373"/>
      <c r="AC48" s="374"/>
      <c r="AD48" s="375"/>
      <c r="AE48" s="375"/>
      <c r="AF48" s="376"/>
      <c r="AG48" s="376"/>
      <c r="AH48" s="375"/>
      <c r="AI48" s="375"/>
      <c r="AJ48" s="375"/>
      <c r="AK48" s="377"/>
      <c r="AL48" s="378"/>
      <c r="AM48" s="379" t="s">
        <v>43</v>
      </c>
      <c r="AN48" s="380" t="s">
        <v>5</v>
      </c>
      <c r="AO48" s="913"/>
      <c r="AP48" s="914"/>
      <c r="AQ48" s="914"/>
      <c r="AR48" s="914"/>
      <c r="AS48" s="914"/>
      <c r="AT48" s="914"/>
      <c r="AU48" s="914"/>
      <c r="AV48" s="914"/>
      <c r="AW48" s="914"/>
      <c r="AX48" s="914"/>
      <c r="AY48" s="914"/>
      <c r="AZ48" s="914"/>
      <c r="BA48" s="914"/>
      <c r="BB48" s="915"/>
      <c r="BC48" s="282"/>
      <c r="BD48" s="282"/>
      <c r="BE48" s="282"/>
      <c r="BF48" s="282"/>
      <c r="BH48" s="903" t="s">
        <v>1190</v>
      </c>
      <c r="BI48" s="904"/>
      <c r="BJ48" s="297"/>
      <c r="BK48" s="297"/>
      <c r="BL48" s="297"/>
      <c r="BM48" s="297"/>
      <c r="BN48" s="297"/>
      <c r="BO48" s="297"/>
      <c r="BP48" s="297"/>
    </row>
    <row r="49" spans="1:68" ht="12">
      <c r="A49" s="922"/>
      <c r="B49" s="281"/>
      <c r="C49" s="813"/>
      <c r="D49" s="814"/>
      <c r="E49" s="814"/>
      <c r="F49" s="815"/>
      <c r="G49" s="847" t="s">
        <v>33</v>
      </c>
      <c r="H49" s="848"/>
      <c r="I49" s="848"/>
      <c r="J49" s="849"/>
      <c r="K49" s="839" t="s">
        <v>15</v>
      </c>
      <c r="L49" s="840"/>
      <c r="M49" s="874"/>
      <c r="N49" s="875"/>
      <c r="O49" s="854"/>
      <c r="P49" s="863" t="s">
        <v>19</v>
      </c>
      <c r="Q49" s="864"/>
      <c r="R49" s="733"/>
      <c r="S49" s="734"/>
      <c r="T49" s="734"/>
      <c r="U49" s="734"/>
      <c r="V49" s="735"/>
      <c r="W49" s="381" t="s">
        <v>44</v>
      </c>
      <c r="X49" s="930"/>
      <c r="Y49" s="931"/>
      <c r="Z49" s="932"/>
      <c r="AA49" s="382"/>
      <c r="AB49" s="383"/>
      <c r="AC49" s="384"/>
      <c r="AD49" s="385"/>
      <c r="AE49" s="386" t="str">
        <f>IF(E6="DE","Änderungsindex:", "Update Index:")</f>
        <v>Änderungsindex:</v>
      </c>
      <c r="AF49" s="387" t="e">
        <f>#REF!</f>
        <v>#REF!</v>
      </c>
      <c r="AG49" s="388"/>
      <c r="AH49" s="388"/>
      <c r="AI49" s="388"/>
      <c r="AJ49" s="388"/>
      <c r="AK49" s="389"/>
      <c r="AL49" s="390"/>
      <c r="AM49" s="391" t="s">
        <v>45</v>
      </c>
      <c r="AN49" s="392" t="s">
        <v>46</v>
      </c>
      <c r="AO49" s="913"/>
      <c r="AP49" s="914"/>
      <c r="AQ49" s="914"/>
      <c r="AR49" s="914"/>
      <c r="AS49" s="914"/>
      <c r="AT49" s="914"/>
      <c r="AU49" s="914"/>
      <c r="AV49" s="914"/>
      <c r="AW49" s="914"/>
      <c r="AX49" s="914"/>
      <c r="AY49" s="914"/>
      <c r="AZ49" s="914"/>
      <c r="BA49" s="914"/>
      <c r="BB49" s="915"/>
      <c r="BC49" s="282"/>
      <c r="BD49" s="282"/>
      <c r="BE49" s="282"/>
      <c r="BF49" s="282"/>
      <c r="BH49" s="901"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Zangen/Motorauslegung nicht i.O.</v>
      </c>
      <c r="BI49" s="902"/>
      <c r="BJ49" s="393"/>
      <c r="BK49" s="393"/>
      <c r="BL49" s="297"/>
      <c r="BM49" s="297"/>
      <c r="BN49" s="297"/>
      <c r="BO49" s="297"/>
      <c r="BP49" s="297"/>
    </row>
    <row r="50" spans="1:68" ht="12">
      <c r="A50" s="922"/>
      <c r="B50" s="281"/>
      <c r="C50" s="813"/>
      <c r="D50" s="814"/>
      <c r="E50" s="814"/>
      <c r="F50" s="815"/>
      <c r="G50" s="850"/>
      <c r="H50" s="851"/>
      <c r="I50" s="851"/>
      <c r="J50" s="852"/>
      <c r="K50" s="839" t="s">
        <v>1</v>
      </c>
      <c r="L50" s="840"/>
      <c r="M50" s="859" t="str">
        <f>IF(ISBLANK('Blatt 0'!O57),"Blatt 0!",'Blatt 0'!O57)</f>
        <v>ST1520</v>
      </c>
      <c r="N50" s="860"/>
      <c r="O50" s="855"/>
      <c r="P50" s="863" t="s">
        <v>7</v>
      </c>
      <c r="Q50" s="864"/>
      <c r="R50" s="730" t="str">
        <f>IF(ISBLANK('Blatt 0'!X57),"Blatt 0!",'Blatt 0'!X57)</f>
        <v>GME</v>
      </c>
      <c r="S50" s="731"/>
      <c r="T50" s="731"/>
      <c r="U50" s="731"/>
      <c r="V50" s="732"/>
      <c r="W50" s="381" t="s">
        <v>8</v>
      </c>
      <c r="X50" s="933">
        <f>IF(ISBLANK('Blatt 0'!AA57),"Blatt 0!",'Blatt 0'!AA57)</f>
        <v>45013</v>
      </c>
      <c r="Y50" s="934"/>
      <c r="Z50" s="935"/>
      <c r="AA50" s="382"/>
      <c r="AB50" s="383"/>
      <c r="AC50" s="384"/>
      <c r="AD50" s="388"/>
      <c r="AE50" s="388"/>
      <c r="AF50" s="388"/>
      <c r="AG50" s="388"/>
      <c r="AH50" s="388"/>
      <c r="AI50" s="388"/>
      <c r="AJ50" s="388"/>
      <c r="AK50" s="388"/>
      <c r="AL50" s="394"/>
      <c r="AM50" s="395"/>
      <c r="AN50" s="396"/>
      <c r="AO50" s="913"/>
      <c r="AP50" s="914"/>
      <c r="AQ50" s="914"/>
      <c r="AR50" s="914"/>
      <c r="AS50" s="914"/>
      <c r="AT50" s="914"/>
      <c r="AU50" s="914"/>
      <c r="AV50" s="914"/>
      <c r="AW50" s="914"/>
      <c r="AX50" s="914"/>
      <c r="AY50" s="914"/>
      <c r="AZ50" s="914"/>
      <c r="BA50" s="914"/>
      <c r="BB50" s="915"/>
      <c r="BC50" s="282"/>
      <c r="BD50" s="282"/>
      <c r="BE50" s="282"/>
      <c r="BF50" s="282"/>
      <c r="BG50" s="397"/>
      <c r="BH50" s="901" t="str">
        <f>IF(O46&lt;R46,IF(E6="DE","Rücksprache Prozessmethodik","consult Process Methodology")," ")</f>
        <v>Rücksprache Prozessmethodik</v>
      </c>
      <c r="BI50" s="902"/>
      <c r="BJ50" s="393"/>
      <c r="BK50" s="393"/>
    </row>
    <row r="51" spans="1:68" ht="12">
      <c r="A51" s="922"/>
      <c r="B51" s="281"/>
      <c r="C51" s="813"/>
      <c r="D51" s="814"/>
      <c r="E51" s="814"/>
      <c r="F51" s="815"/>
      <c r="G51" s="836" t="s">
        <v>14</v>
      </c>
      <c r="H51" s="837"/>
      <c r="I51" s="837"/>
      <c r="J51" s="838"/>
      <c r="K51" s="839" t="s">
        <v>17</v>
      </c>
      <c r="L51" s="840"/>
      <c r="M51" s="874"/>
      <c r="N51" s="875"/>
      <c r="O51" s="856" t="s">
        <v>18</v>
      </c>
      <c r="P51" s="878" t="s">
        <v>47</v>
      </c>
      <c r="Q51" s="840"/>
      <c r="R51" s="733"/>
      <c r="S51" s="734"/>
      <c r="T51" s="734"/>
      <c r="U51" s="734"/>
      <c r="V51" s="735"/>
      <c r="W51" s="398" t="s">
        <v>23</v>
      </c>
      <c r="X51" s="936"/>
      <c r="Y51" s="937"/>
      <c r="Z51" s="938"/>
      <c r="AA51" s="899" t="s">
        <v>1278</v>
      </c>
      <c r="AB51" s="900"/>
      <c r="AC51" s="886" t="str">
        <f>IF(ISBLANK('Blatt 0'!AF58),"Blatt 0!",'Blatt 0'!AF58)</f>
        <v>66-A53-96D 313785</v>
      </c>
      <c r="AD51" s="887"/>
      <c r="AE51" s="887"/>
      <c r="AF51" s="887"/>
      <c r="AG51" s="887"/>
      <c r="AH51" s="887"/>
      <c r="AI51" s="887"/>
      <c r="AJ51" s="887"/>
      <c r="AK51" s="887"/>
      <c r="AL51" s="888"/>
      <c r="AM51" s="895" t="s">
        <v>34</v>
      </c>
      <c r="AN51" s="897" t="s">
        <v>1188</v>
      </c>
      <c r="AO51" s="913"/>
      <c r="AP51" s="914"/>
      <c r="AQ51" s="914"/>
      <c r="AR51" s="914"/>
      <c r="AS51" s="914"/>
      <c r="AT51" s="914"/>
      <c r="AU51" s="914"/>
      <c r="AV51" s="914"/>
      <c r="AW51" s="914"/>
      <c r="AX51" s="914"/>
      <c r="AY51" s="914"/>
      <c r="AZ51" s="914"/>
      <c r="BA51" s="914"/>
      <c r="BB51" s="915"/>
      <c r="BC51" s="282"/>
      <c r="BD51" s="282"/>
      <c r="BE51" s="282"/>
      <c r="BF51" s="282"/>
      <c r="BG51" s="397"/>
      <c r="BH51" s="397"/>
      <c r="BI51" s="397"/>
      <c r="BJ51" s="397"/>
    </row>
    <row r="52" spans="1:68" ht="12">
      <c r="A52" s="922"/>
      <c r="B52" s="281"/>
      <c r="C52" s="967" t="str">
        <f>'Blatt 0'!B59</f>
        <v>AKTIENGESELLSCHAFT</v>
      </c>
      <c r="D52" s="968"/>
      <c r="E52" s="968"/>
      <c r="F52" s="969"/>
      <c r="G52" s="841" t="s">
        <v>48</v>
      </c>
      <c r="H52" s="842"/>
      <c r="I52" s="842"/>
      <c r="J52" s="843"/>
      <c r="K52" s="839" t="s">
        <v>6</v>
      </c>
      <c r="L52" s="840"/>
      <c r="M52" s="859" t="str">
        <f>IF(ISBLANK('Blatt 0'!O59),"Blatt 0!",'Blatt 0'!O59)</f>
        <v>VW 336</v>
      </c>
      <c r="N52" s="860"/>
      <c r="O52" s="857"/>
      <c r="P52" s="863" t="s">
        <v>10</v>
      </c>
      <c r="Q52" s="864"/>
      <c r="R52" s="730" t="str">
        <f>IF(ISBLANK('Blatt 0'!X59),"Blatt 0!",'Blatt 0'!X59)</f>
        <v>GME</v>
      </c>
      <c r="S52" s="731"/>
      <c r="T52" s="731"/>
      <c r="U52" s="731"/>
      <c r="V52" s="732"/>
      <c r="W52" s="398" t="s">
        <v>9</v>
      </c>
      <c r="X52" s="953" t="str">
        <f>IF(ISBLANK('Blatt 0'!AA59),"Blatt 0!",'Blatt 0'!AA59)</f>
        <v>Blatt 0!</v>
      </c>
      <c r="Y52" s="954"/>
      <c r="Z52" s="955"/>
      <c r="AA52" s="899"/>
      <c r="AB52" s="900"/>
      <c r="AC52" s="886"/>
      <c r="AD52" s="887"/>
      <c r="AE52" s="887"/>
      <c r="AF52" s="887"/>
      <c r="AG52" s="887"/>
      <c r="AH52" s="887"/>
      <c r="AI52" s="887"/>
      <c r="AJ52" s="887"/>
      <c r="AK52" s="887"/>
      <c r="AL52" s="888"/>
      <c r="AM52" s="895"/>
      <c r="AN52" s="897"/>
      <c r="AO52" s="913"/>
      <c r="AP52" s="914"/>
      <c r="AQ52" s="914"/>
      <c r="AR52" s="914"/>
      <c r="AS52" s="914"/>
      <c r="AT52" s="914"/>
      <c r="AU52" s="914"/>
      <c r="AV52" s="914"/>
      <c r="AW52" s="914"/>
      <c r="AX52" s="914"/>
      <c r="AY52" s="914"/>
      <c r="AZ52" s="914"/>
      <c r="BA52" s="914"/>
      <c r="BB52" s="915"/>
      <c r="BC52" s="282"/>
      <c r="BD52" s="282"/>
      <c r="BE52" s="282"/>
      <c r="BF52" s="282"/>
      <c r="BG52" s="397"/>
      <c r="BH52" s="397"/>
      <c r="BI52" s="397"/>
      <c r="BJ52" s="397"/>
    </row>
    <row r="53" spans="1:68" ht="12.75" thickBot="1">
      <c r="A53" s="923"/>
      <c r="B53" s="281"/>
      <c r="C53" s="970"/>
      <c r="D53" s="971"/>
      <c r="E53" s="971"/>
      <c r="F53" s="972"/>
      <c r="G53" s="844"/>
      <c r="H53" s="845"/>
      <c r="I53" s="845"/>
      <c r="J53" s="846"/>
      <c r="K53" s="865" t="s">
        <v>16</v>
      </c>
      <c r="L53" s="866"/>
      <c r="M53" s="861"/>
      <c r="N53" s="862"/>
      <c r="O53" s="858"/>
      <c r="P53" s="736" t="s">
        <v>49</v>
      </c>
      <c r="Q53" s="737"/>
      <c r="R53" s="733"/>
      <c r="S53" s="734"/>
      <c r="T53" s="734"/>
      <c r="U53" s="734"/>
      <c r="V53" s="735"/>
      <c r="W53" s="399" t="s">
        <v>24</v>
      </c>
      <c r="X53" s="930"/>
      <c r="Y53" s="931"/>
      <c r="Z53" s="932"/>
      <c r="AA53" s="400"/>
      <c r="AB53" s="401"/>
      <c r="AC53" s="889"/>
      <c r="AD53" s="890"/>
      <c r="AE53" s="890"/>
      <c r="AF53" s="890"/>
      <c r="AG53" s="890"/>
      <c r="AH53" s="890"/>
      <c r="AI53" s="890"/>
      <c r="AJ53" s="890"/>
      <c r="AK53" s="890"/>
      <c r="AL53" s="891"/>
      <c r="AM53" s="896"/>
      <c r="AN53" s="898"/>
      <c r="AO53" s="916"/>
      <c r="AP53" s="917"/>
      <c r="AQ53" s="917"/>
      <c r="AR53" s="917"/>
      <c r="AS53" s="917"/>
      <c r="AT53" s="917"/>
      <c r="AU53" s="917"/>
      <c r="AV53" s="917"/>
      <c r="AW53" s="917"/>
      <c r="AX53" s="917"/>
      <c r="AY53" s="917"/>
      <c r="AZ53" s="917"/>
      <c r="BA53" s="917"/>
      <c r="BB53" s="918"/>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4" t="s">
        <v>1690</v>
      </c>
      <c r="N54" s="724"/>
      <c r="O54" s="404" t="s">
        <v>1909</v>
      </c>
      <c r="P54" s="404"/>
      <c r="Q54" s="403"/>
      <c r="R54" s="403"/>
      <c r="S54" s="403"/>
      <c r="T54" s="403"/>
      <c r="U54" s="403"/>
      <c r="V54" s="403"/>
      <c r="W54" s="403"/>
      <c r="X54" s="403"/>
      <c r="Y54" s="403"/>
      <c r="Z54" s="403"/>
      <c r="AA54" s="403"/>
      <c r="AB54" s="403"/>
      <c r="AC54" s="405"/>
      <c r="AD54" s="405"/>
      <c r="AF54" s="814" t="s">
        <v>1269</v>
      </c>
      <c r="AG54" s="814"/>
      <c r="AH54" s="738" t="s">
        <v>1713</v>
      </c>
      <c r="AI54" s="738"/>
      <c r="AJ54" s="738"/>
      <c r="AK54" s="739" t="s">
        <v>1268</v>
      </c>
      <c r="AL54" s="739"/>
      <c r="AM54" s="740"/>
      <c r="AN54" s="740"/>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6" priority="425" stopIfTrue="1" operator="equal">
      <formula>"Ergebnis des Druckbereichs i.O."</formula>
    </cfRule>
    <cfRule type="cellIs" dxfId="155" priority="426" stopIfTrue="1" operator="equal">
      <formula>"Ergebnis des Druckbereichs nicht i.O."</formula>
    </cfRule>
  </conditionalFormatting>
  <conditionalFormatting sqref="BH47">
    <cfRule type="cellIs" dxfId="154" priority="423" stopIfTrue="1" operator="equal">
      <formula>" "</formula>
    </cfRule>
    <cfRule type="cellIs" dxfId="153" priority="424" stopIfTrue="1" operator="equal">
      <formula>"Rücksprache Prozessmethodik"</formula>
    </cfRule>
  </conditionalFormatting>
  <conditionalFormatting sqref="X46">
    <cfRule type="cellIs" dxfId="152" priority="417" stopIfTrue="1" operator="notEqual">
      <formula>"39D 1978-2"</formula>
    </cfRule>
    <cfRule type="containsText" dxfId="151" priority="418" stopIfTrue="1" operator="containsText" text="39D 1978-2">
      <formula>NOT(ISERROR(SEARCH("39D 1978-2",X46)))</formula>
    </cfRule>
    <cfRule type="expression" priority="419" stopIfTrue="1">
      <formula>1</formula>
    </cfRule>
  </conditionalFormatting>
  <conditionalFormatting sqref="AA46">
    <cfRule type="cellIs" dxfId="150" priority="416" stopIfTrue="1" operator="notEqual">
      <formula>6</formula>
    </cfRule>
  </conditionalFormatting>
  <conditionalFormatting sqref="AB46">
    <cfRule type="cellIs" dxfId="149" priority="415" stopIfTrue="1" operator="notEqual">
      <formula>50</formula>
    </cfRule>
  </conditionalFormatting>
  <conditionalFormatting sqref="AC46">
    <cfRule type="cellIs" dxfId="148" priority="414" stopIfTrue="1" operator="notEqual">
      <formula>6</formula>
    </cfRule>
  </conditionalFormatting>
  <conditionalFormatting sqref="AD46">
    <cfRule type="cellIs" dxfId="147" priority="411" stopIfTrue="1" operator="notEqual">
      <formula>50</formula>
    </cfRule>
  </conditionalFormatting>
  <conditionalFormatting sqref="CB19:CB43">
    <cfRule type="cellIs" dxfId="146" priority="436" stopIfTrue="1" operator="equal">
      <formula>$AC$19</formula>
    </cfRule>
  </conditionalFormatting>
  <conditionalFormatting sqref="G19:G43">
    <cfRule type="expression" dxfId="145" priority="410" stopIfTrue="1">
      <formula>OR(AND(ISNUMBER($P19),ISBLANK($G19)),AND(ISTEXT($G19),ISBLANK($P19)))</formula>
    </cfRule>
  </conditionalFormatting>
  <conditionalFormatting sqref="BH46">
    <cfRule type="cellIs" dxfId="144" priority="394" operator="equal">
      <formula>"pressure level not allowed"</formula>
    </cfRule>
    <cfRule type="cellIs" dxfId="143" priority="395" operator="equal">
      <formula>"presure level allowed"</formula>
    </cfRule>
    <cfRule type="cellIs" dxfId="142" priority="396" operator="equal">
      <formula>"Max. Force of gun acc.Drw.exceeded!"</formula>
    </cfRule>
    <cfRule type="cellIs" dxfId="141" priority="406" stopIfTrue="1" operator="equal">
      <formula>"Zangenkraft lt.Zangenzeichnung überschritten!"</formula>
    </cfRule>
  </conditionalFormatting>
  <conditionalFormatting sqref="AE19:AE43">
    <cfRule type="expression" dxfId="140" priority="402">
      <formula>ISERROR(AE19)</formula>
    </cfRule>
  </conditionalFormatting>
  <conditionalFormatting sqref="BH47">
    <cfRule type="cellIs" dxfId="139" priority="393" operator="equal">
      <formula>"consult process methodology"</formula>
    </cfRule>
  </conditionalFormatting>
  <conditionalFormatting sqref="W47">
    <cfRule type="expression" dxfId="138" priority="437" stopIfTrue="1">
      <formula>ISBLANK($W$47)</formula>
    </cfRule>
  </conditionalFormatting>
  <conditionalFormatting sqref="G6">
    <cfRule type="cellIs" dxfId="137" priority="392" operator="equal">
      <formula>"-"</formula>
    </cfRule>
  </conditionalFormatting>
  <conditionalFormatting sqref="H44">
    <cfRule type="cellIs" dxfId="136" priority="391" operator="equal">
      <formula>"Zangentyp?"</formula>
    </cfRule>
  </conditionalFormatting>
  <conditionalFormatting sqref="BH49">
    <cfRule type="cellIs" dxfId="135" priority="389" stopIfTrue="1" operator="equal">
      <formula>"Zangen/Motorauslegung i.O."</formula>
    </cfRule>
    <cfRule type="cellIs" dxfId="134" priority="390" stopIfTrue="1" operator="equal">
      <formula>"Zangen/Motorauslegung nicht i.O."</formula>
    </cfRule>
  </conditionalFormatting>
  <conditionalFormatting sqref="BH49 BJ49:BK49">
    <cfRule type="cellIs" dxfId="133" priority="383" operator="equal">
      <formula>"Gun/Electromotor Design not O.K."</formula>
    </cfRule>
    <cfRule type="cellIs" dxfId="132" priority="384" operator="equal">
      <formula>"Gun/Electromotor Design O.K."</formula>
    </cfRule>
    <cfRule type="cellIs" dxfId="131" priority="385" operator="equal">
      <formula>"incorrect Gun Type/Gun Body/Gun Measure"</formula>
    </cfRule>
    <cfRule type="cellIs" dxfId="130" priority="386" operator="equal">
      <formula>"Max. Force of Gun acc.Drw.exceeded!"</formula>
    </cfRule>
    <cfRule type="cellIs" dxfId="129" priority="387" operator="equal">
      <formula>"max. Zangenkraft lt.Zeichnung überschritten!"</formula>
    </cfRule>
    <cfRule type="cellIs" dxfId="128" priority="388" stopIfTrue="1" operator="equal">
      <formula>"Zangentyp/-grundkörper/-maße falsch"</formula>
    </cfRule>
  </conditionalFormatting>
  <conditionalFormatting sqref="BH50">
    <cfRule type="cellIs" dxfId="127" priority="381" stopIfTrue="1" operator="equal">
      <formula>" "</formula>
    </cfRule>
    <cfRule type="cellIs" dxfId="126" priority="382" stopIfTrue="1" operator="equal">
      <formula>"Rücksprache Prozessmethodik"</formula>
    </cfRule>
  </conditionalFormatting>
  <conditionalFormatting sqref="T46">
    <cfRule type="cellIs" dxfId="125" priority="371" stopIfTrue="1" operator="equal">
      <formula>" "</formula>
    </cfRule>
    <cfRule type="cellIs" dxfId="124" priority="372" stopIfTrue="1" operator="equal">
      <formula>"Rücksprache Prozessmethodik"</formula>
    </cfRule>
  </conditionalFormatting>
  <conditionalFormatting sqref="T46">
    <cfRule type="cellIs" dxfId="123" priority="370" operator="equal">
      <formula>"consult process methodology"</formula>
    </cfRule>
  </conditionalFormatting>
  <conditionalFormatting sqref="T45">
    <cfRule type="cellIs" dxfId="122" priority="368" stopIfTrue="1" operator="equal">
      <formula>"Zangen/Motorauslegung i.O."</formula>
    </cfRule>
    <cfRule type="cellIs" dxfId="121" priority="369" stopIfTrue="1" operator="equal">
      <formula>"Zangen/Motorauslegung nicht i.O."</formula>
    </cfRule>
  </conditionalFormatting>
  <conditionalFormatting sqref="T45:W45">
    <cfRule type="cellIs" dxfId="120" priority="328" operator="equal">
      <formula>"Zangentyp/Guntype?"</formula>
    </cfRule>
    <cfRule type="cellIs" dxfId="119" priority="358" operator="equal">
      <formula>"Pressure level not allowed"</formula>
    </cfRule>
    <cfRule type="cellIs" dxfId="118" priority="359" operator="equal">
      <formula>"Presure level allowed"</formula>
    </cfRule>
    <cfRule type="cellIs" dxfId="117" priority="360" operator="equal">
      <formula>"Ergebnis des Druckbereichs nicht i.O."</formula>
    </cfRule>
    <cfRule type="cellIs" dxfId="116" priority="361" operator="equal">
      <formula>"Ergebnis des Druckbereichs i.O."</formula>
    </cfRule>
    <cfRule type="cellIs" dxfId="115" priority="362" operator="equal">
      <formula>"Gun/Electromotor Design not O.K."</formula>
    </cfRule>
    <cfRule type="cellIs" dxfId="114" priority="363" operator="equal">
      <formula>"Gun/Electromotor Design O.K."</formula>
    </cfRule>
    <cfRule type="cellIs" dxfId="113" priority="364" operator="equal">
      <formula>"incorrect Gun Type/Gun Body/Gun Measure"</formula>
    </cfRule>
    <cfRule type="cellIs" dxfId="112" priority="365" operator="equal">
      <formula>"Max. Force of Gun acc.Drw.exceeded!"</formula>
    </cfRule>
    <cfRule type="cellIs" dxfId="111" priority="366" operator="equal">
      <formula>"max. Zangenkraft lt.Zeichnung überschritten!"</formula>
    </cfRule>
    <cfRule type="cellIs" dxfId="110" priority="367" stopIfTrue="1" operator="equal">
      <formula>"Zangentyp/-grundkörper/-maße falsch"</formula>
    </cfRule>
  </conditionalFormatting>
  <conditionalFormatting sqref="E47">
    <cfRule type="expression" dxfId="109" priority="357">
      <formula>$G$6="SPZ"</formula>
    </cfRule>
  </conditionalFormatting>
  <conditionalFormatting sqref="E44">
    <cfRule type="expression" dxfId="108" priority="350">
      <formula>$G$6="RZ"</formula>
    </cfRule>
  </conditionalFormatting>
  <conditionalFormatting sqref="E46">
    <cfRule type="expression" dxfId="107" priority="211">
      <formula>$G$6="RZ"</formula>
    </cfRule>
  </conditionalFormatting>
  <conditionalFormatting sqref="L44">
    <cfRule type="expression" dxfId="106" priority="297">
      <formula>ISERR($L$46)</formula>
    </cfRule>
  </conditionalFormatting>
  <conditionalFormatting sqref="L45">
    <cfRule type="expression" dxfId="105" priority="296">
      <formula>ISERR($L$46)</formula>
    </cfRule>
  </conditionalFormatting>
  <conditionalFormatting sqref="Y19">
    <cfRule type="expression" dxfId="104" priority="278">
      <formula>ISERR(AE19)</formula>
    </cfRule>
  </conditionalFormatting>
  <conditionalFormatting sqref="Y20:Y43">
    <cfRule type="expression" dxfId="103" priority="277">
      <formula>ISERR(AE20)</formula>
    </cfRule>
  </conditionalFormatting>
  <conditionalFormatting sqref="S41:S43">
    <cfRule type="expression" dxfId="102" priority="268">
      <formula>$U41="t2?"</formula>
    </cfRule>
  </conditionalFormatting>
  <conditionalFormatting sqref="AN45:AN46">
    <cfRule type="cellIs" dxfId="101" priority="234" operator="equal">
      <formula>"Ja"</formula>
    </cfRule>
  </conditionalFormatting>
  <conditionalFormatting sqref="AE45:AE46">
    <cfRule type="expression" dxfId="100" priority="441">
      <formula>AN45="Ja"</formula>
    </cfRule>
  </conditionalFormatting>
  <conditionalFormatting sqref="AE47">
    <cfRule type="expression" dxfId="99" priority="442">
      <formula>AND(AN45="Ja",ISBLANK($AG$47))</formula>
    </cfRule>
  </conditionalFormatting>
  <conditionalFormatting sqref="AJ47">
    <cfRule type="expression" dxfId="98" priority="443">
      <formula>AND(AN45="Ja",ISBLANK($AL$47))</formula>
    </cfRule>
  </conditionalFormatting>
  <conditionalFormatting sqref="AG47">
    <cfRule type="expression" dxfId="97" priority="233">
      <formula>AND(AN45="Ja",ISBLANK($AG$47))</formula>
    </cfRule>
  </conditionalFormatting>
  <conditionalFormatting sqref="AL47">
    <cfRule type="expression" dxfId="96" priority="232">
      <formula>AND(AN45="Ja",ISBLANK($AL$47))</formula>
    </cfRule>
  </conditionalFormatting>
  <conditionalFormatting sqref="G8">
    <cfRule type="expression" dxfId="95" priority="231">
      <formula>NOT(OR(G8="J",G8="N"))</formula>
    </cfRule>
  </conditionalFormatting>
  <conditionalFormatting sqref="S31:S39">
    <cfRule type="expression" dxfId="94" priority="225">
      <formula>$R31="t1?"</formula>
    </cfRule>
  </conditionalFormatting>
  <conditionalFormatting sqref="S40">
    <cfRule type="expression" dxfId="93" priority="224">
      <formula>$U40="t2?"</formula>
    </cfRule>
  </conditionalFormatting>
  <conditionalFormatting sqref="H47">
    <cfRule type="expression" dxfId="92" priority="219">
      <formula>$G$6="SPZ"</formula>
    </cfRule>
  </conditionalFormatting>
  <conditionalFormatting sqref="L47">
    <cfRule type="expression" dxfId="91" priority="218">
      <formula>$G$6="SPZ"</formula>
    </cfRule>
  </conditionalFormatting>
  <conditionalFormatting sqref="O46">
    <cfRule type="expression" dxfId="90" priority="217">
      <formula>$G$6="SPZ"</formula>
    </cfRule>
  </conditionalFormatting>
  <conditionalFormatting sqref="O47">
    <cfRule type="expression" dxfId="89" priority="216">
      <formula>$G$6="SPZ"</formula>
    </cfRule>
  </conditionalFormatting>
  <conditionalFormatting sqref="R46">
    <cfRule type="expression" dxfId="88" priority="215">
      <formula>$G$6="SPZ"</formula>
    </cfRule>
  </conditionalFormatting>
  <conditionalFormatting sqref="R47">
    <cfRule type="expression" dxfId="87" priority="214">
      <formula>$G$6="SPZ"</formula>
    </cfRule>
  </conditionalFormatting>
  <conditionalFormatting sqref="X47">
    <cfRule type="expression" dxfId="86" priority="213">
      <formula>$G$6="SPZ"</formula>
    </cfRule>
  </conditionalFormatting>
  <conditionalFormatting sqref="AA47">
    <cfRule type="expression" dxfId="85" priority="212">
      <formula>$G$6="SPZ"</formula>
    </cfRule>
  </conditionalFormatting>
  <conditionalFormatting sqref="H46">
    <cfRule type="expression" dxfId="84" priority="210">
      <formula>$G$6="RZ"</formula>
    </cfRule>
  </conditionalFormatting>
  <conditionalFormatting sqref="O44">
    <cfRule type="expression" dxfId="83" priority="209">
      <formula>$G$6="RZ"</formula>
    </cfRule>
  </conditionalFormatting>
  <conditionalFormatting sqref="O45">
    <cfRule type="expression" dxfId="82" priority="208">
      <formula>$G$6="RZ"</formula>
    </cfRule>
  </conditionalFormatting>
  <conditionalFormatting sqref="R44">
    <cfRule type="expression" dxfId="81" priority="207">
      <formula>$G$6="RZ"</formula>
    </cfRule>
  </conditionalFormatting>
  <conditionalFormatting sqref="R45">
    <cfRule type="expression" dxfId="80" priority="206">
      <formula>$G$6="RZ"</formula>
    </cfRule>
  </conditionalFormatting>
  <conditionalFormatting sqref="C44:D45">
    <cfRule type="expression" dxfId="79" priority="205">
      <formula>$G$6="RZ"</formula>
    </cfRule>
  </conditionalFormatting>
  <conditionalFormatting sqref="C46:D46">
    <cfRule type="expression" dxfId="78" priority="204">
      <formula>$G$6="RZ"</formula>
    </cfRule>
  </conditionalFormatting>
  <conditionalFormatting sqref="F46:G46">
    <cfRule type="expression" dxfId="77" priority="203">
      <formula>$G$6="RZ"</formula>
    </cfRule>
  </conditionalFormatting>
  <conditionalFormatting sqref="M45:N45">
    <cfRule type="expression" dxfId="76" priority="202">
      <formula>$G$6="RZ"</formula>
    </cfRule>
  </conditionalFormatting>
  <conditionalFormatting sqref="P45:Q45">
    <cfRule type="expression" dxfId="75" priority="201">
      <formula>$G$6="RZ"</formula>
    </cfRule>
  </conditionalFormatting>
  <conditionalFormatting sqref="M44:N44">
    <cfRule type="expression" dxfId="74" priority="200">
      <formula>$G$6="RZ"</formula>
    </cfRule>
  </conditionalFormatting>
  <conditionalFormatting sqref="P44:Q44">
    <cfRule type="expression" dxfId="73" priority="199">
      <formula>$G$6="RZ"</formula>
    </cfRule>
  </conditionalFormatting>
  <conditionalFormatting sqref="C47:D47">
    <cfRule type="expression" dxfId="72" priority="198">
      <formula>$G$6="SPZ"</formula>
    </cfRule>
  </conditionalFormatting>
  <conditionalFormatting sqref="F47:G47">
    <cfRule type="expression" dxfId="71" priority="197">
      <formula>$G$6="SPZ"</formula>
    </cfRule>
  </conditionalFormatting>
  <conditionalFormatting sqref="I47">
    <cfRule type="expression" dxfId="70" priority="196">
      <formula>$G$6="SPZ"</formula>
    </cfRule>
  </conditionalFormatting>
  <conditionalFormatting sqref="M46:N46">
    <cfRule type="expression" dxfId="69" priority="195">
      <formula>$G$6="SPZ"</formula>
    </cfRule>
  </conditionalFormatting>
  <conditionalFormatting sqref="M47:N47">
    <cfRule type="expression" dxfId="68" priority="194">
      <formula>$G$6="SPZ"</formula>
    </cfRule>
  </conditionalFormatting>
  <conditionalFormatting sqref="P47:Q47">
    <cfRule type="expression" dxfId="67" priority="193">
      <formula>$G$6="SPZ"</formula>
    </cfRule>
  </conditionalFormatting>
  <conditionalFormatting sqref="P46:Q46">
    <cfRule type="expression" dxfId="66" priority="192">
      <formula>$G$6="SPZ"</formula>
    </cfRule>
  </conditionalFormatting>
  <conditionalFormatting sqref="AF45:AM46">
    <cfRule type="expression" dxfId="65" priority="445">
      <formula>BG45="Ja"</formula>
    </cfRule>
  </conditionalFormatting>
  <conditionalFormatting sqref="AF47">
    <cfRule type="expression" dxfId="64" priority="447">
      <formula>AND(BG45="Ja",ISBLANK($AG$47))</formula>
    </cfRule>
  </conditionalFormatting>
  <conditionalFormatting sqref="AK47">
    <cfRule type="expression" dxfId="63" priority="449">
      <formula>AND(BG45="Ja",ISBLANK($AL$47))</formula>
    </cfRule>
  </conditionalFormatting>
  <conditionalFormatting sqref="AH47:AI47">
    <cfRule type="expression" dxfId="62" priority="451">
      <formula>AND(BG45="Ja",ISBLANK($AG$47))</formula>
    </cfRule>
  </conditionalFormatting>
  <conditionalFormatting sqref="AM47:AN47">
    <cfRule type="expression" dxfId="61" priority="456">
      <formula>AND(BG45="Ja",ISBLANK($AL$47))</formula>
    </cfRule>
  </conditionalFormatting>
  <conditionalFormatting sqref="W21">
    <cfRule type="expression" dxfId="60" priority="148">
      <formula>CELL("Schutz",W21)</formula>
    </cfRule>
  </conditionalFormatting>
  <conditionalFormatting sqref="V21">
    <cfRule type="expression" dxfId="59" priority="149">
      <formula>$R21="t1?"</formula>
    </cfRule>
  </conditionalFormatting>
  <conditionalFormatting sqref="V22 V31:V43 V26:V29">
    <cfRule type="expression" dxfId="58" priority="177">
      <formula>$R22="t1?"</formula>
    </cfRule>
  </conditionalFormatting>
  <conditionalFormatting sqref="P41:P43">
    <cfRule type="expression" dxfId="57" priority="172">
      <formula>$U41="t2?"</formula>
    </cfRule>
  </conditionalFormatting>
  <conditionalFormatting sqref="P31:P39">
    <cfRule type="expression" dxfId="56" priority="170">
      <formula>$R31="t1?"</formula>
    </cfRule>
  </conditionalFormatting>
  <conditionalFormatting sqref="P40">
    <cfRule type="expression" dxfId="55" priority="169">
      <formula>$U40="t2?"</formula>
    </cfRule>
  </conditionalFormatting>
  <conditionalFormatting sqref="AE44:AN44">
    <cfRule type="containsText" dxfId="54" priority="147"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3" priority="140">
      <formula>$R19="t1?"</formula>
    </cfRule>
  </conditionalFormatting>
  <conditionalFormatting sqref="P20:P28">
    <cfRule type="expression" dxfId="52" priority="139">
      <formula>$R20="t1?"</formula>
    </cfRule>
  </conditionalFormatting>
  <conditionalFormatting sqref="P19:P28">
    <cfRule type="expression" dxfId="51" priority="136">
      <formula>CELL("Schutz",P19)</formula>
    </cfRule>
  </conditionalFormatting>
  <conditionalFormatting sqref="V19">
    <cfRule type="expression" dxfId="50" priority="129">
      <formula>$R19="t1?"</formula>
    </cfRule>
  </conditionalFormatting>
  <conditionalFormatting sqref="V19">
    <cfRule type="expression" dxfId="49" priority="128">
      <formula>CELL("Schutz",V19)</formula>
    </cfRule>
  </conditionalFormatting>
  <conditionalFormatting sqref="P29">
    <cfRule type="expression" dxfId="48" priority="126">
      <formula>$R29="t1?"</formula>
    </cfRule>
  </conditionalFormatting>
  <conditionalFormatting sqref="S29">
    <cfRule type="expression" dxfId="47" priority="125">
      <formula>$R29="t1?"</formula>
    </cfRule>
  </conditionalFormatting>
  <conditionalFormatting sqref="P30">
    <cfRule type="expression" dxfId="46" priority="124">
      <formula>$R30="t1?"</formula>
    </cfRule>
  </conditionalFormatting>
  <conditionalFormatting sqref="S30">
    <cfRule type="expression" dxfId="45" priority="123">
      <formula>$R30="t1?"</formula>
    </cfRule>
  </conditionalFormatting>
  <conditionalFormatting sqref="V30">
    <cfRule type="expression" dxfId="44" priority="122">
      <formula>$R30="t1?"</formula>
    </cfRule>
  </conditionalFormatting>
  <conditionalFormatting sqref="I19:I43">
    <cfRule type="aboveAverage" dxfId="43" priority="120" aboveAverage="0"/>
    <cfRule type="aboveAverage" dxfId="42" priority="121"/>
  </conditionalFormatting>
  <conditionalFormatting sqref="G20:G43">
    <cfRule type="expression" dxfId="41" priority="114">
      <formula>AND(BI10=TRUE,BH10=TRUE)</formula>
    </cfRule>
  </conditionalFormatting>
  <conditionalFormatting sqref="G19:G43">
    <cfRule type="expression" dxfId="40" priority="457">
      <formula>AND(G19="X",$BJ$9=TRUE,$BI$9=TRUE)</formula>
    </cfRule>
  </conditionalFormatting>
  <conditionalFormatting sqref="G20:G43">
    <cfRule type="expression" dxfId="39" priority="458">
      <formula>AND($BJ$9=TRUE,$BI$9=TRUE)</formula>
    </cfRule>
  </conditionalFormatting>
  <conditionalFormatting sqref="V25">
    <cfRule type="expression" dxfId="38" priority="101">
      <formula>$R25="t1?"</formula>
    </cfRule>
  </conditionalFormatting>
  <conditionalFormatting sqref="Q27">
    <cfRule type="expression" dxfId="37" priority="92">
      <formula>CELL("Schutz",Q27)</formula>
    </cfRule>
  </conditionalFormatting>
  <conditionalFormatting sqref="W25:W27">
    <cfRule type="expression" dxfId="36" priority="89">
      <formula>CELL("Schutz",W25)</formula>
    </cfRule>
  </conditionalFormatting>
  <conditionalFormatting sqref="T27">
    <cfRule type="expression" dxfId="35" priority="87">
      <formula>CELL("Schutz",T27)</formula>
    </cfRule>
  </conditionalFormatting>
  <conditionalFormatting sqref="Q21">
    <cfRule type="expression" dxfId="34" priority="79">
      <formula>CELL("Schutz",Q21)</formula>
    </cfRule>
  </conditionalFormatting>
  <conditionalFormatting sqref="Q22">
    <cfRule type="expression" dxfId="33" priority="76">
      <formula>CELL("Schutz",Q22)</formula>
    </cfRule>
  </conditionalFormatting>
  <conditionalFormatting sqref="Q23">
    <cfRule type="expression" dxfId="32" priority="73">
      <formula>CELL("Schutz",Q23)</formula>
    </cfRule>
  </conditionalFormatting>
  <conditionalFormatting sqref="T22">
    <cfRule type="expression" dxfId="31" priority="70">
      <formula>CELL("Schutz",T22)</formula>
    </cfRule>
  </conditionalFormatting>
  <conditionalFormatting sqref="T23">
    <cfRule type="expression" dxfId="30" priority="67">
      <formula>CELL("Schutz",T23)</formula>
    </cfRule>
  </conditionalFormatting>
  <conditionalFormatting sqref="Q24">
    <cfRule type="expression" dxfId="29" priority="62">
      <formula>CELL("Schutz",Q24)</formula>
    </cfRule>
  </conditionalFormatting>
  <conditionalFormatting sqref="S19:S28">
    <cfRule type="expression" dxfId="28" priority="61">
      <formula>$R19="t1?"</formula>
    </cfRule>
  </conditionalFormatting>
  <conditionalFormatting sqref="S19:S28">
    <cfRule type="expression" dxfId="27" priority="60">
      <formula>CELL("Schutz",S19)</formula>
    </cfRule>
  </conditionalFormatting>
  <conditionalFormatting sqref="T21">
    <cfRule type="expression" dxfId="26" priority="59">
      <formula>CELL("Schutz",T21)</formula>
    </cfRule>
  </conditionalFormatting>
  <conditionalFormatting sqref="T24">
    <cfRule type="expression" dxfId="25" priority="56">
      <formula>CELL("Schutz",T24)</formula>
    </cfRule>
  </conditionalFormatting>
  <conditionalFormatting sqref="Q25">
    <cfRule type="expression" dxfId="24" priority="53">
      <formula>CELL("Schutz",Q25)</formula>
    </cfRule>
  </conditionalFormatting>
  <conditionalFormatting sqref="T25">
    <cfRule type="expression" dxfId="23" priority="50">
      <formula>CELL("Schutz",T25)</formula>
    </cfRule>
  </conditionalFormatting>
  <conditionalFormatting sqref="Q26">
    <cfRule type="expression" dxfId="22" priority="47">
      <formula>CELL("Schutz",Q26)</formula>
    </cfRule>
  </conditionalFormatting>
  <conditionalFormatting sqref="T26">
    <cfRule type="expression" dxfId="21" priority="44">
      <formula>CELL("Schutz",T26)</formula>
    </cfRule>
  </conditionalFormatting>
  <conditionalFormatting sqref="V24">
    <cfRule type="expression" dxfId="20" priority="43">
      <formula>$R24="t1?"</formula>
    </cfRule>
  </conditionalFormatting>
  <conditionalFormatting sqref="V24">
    <cfRule type="expression" dxfId="19" priority="42">
      <formula>CELL("Schutz",V24)</formula>
    </cfRule>
  </conditionalFormatting>
  <conditionalFormatting sqref="W24">
    <cfRule type="expression" dxfId="18" priority="41">
      <formula>CELL("Schutz",W24)</formula>
    </cfRule>
  </conditionalFormatting>
  <conditionalFormatting sqref="W23">
    <cfRule type="expression" dxfId="17" priority="39">
      <formula>CELL("Schutz",W23)</formula>
    </cfRule>
  </conditionalFormatting>
  <conditionalFormatting sqref="V23">
    <cfRule type="expression" dxfId="16" priority="38">
      <formula>$R23="t1?"</formula>
    </cfRule>
  </conditionalFormatting>
  <conditionalFormatting sqref="V23">
    <cfRule type="expression" dxfId="15" priority="37">
      <formula>CELL("Schutz",V23)</formula>
    </cfRule>
  </conditionalFormatting>
  <conditionalFormatting sqref="V20">
    <cfRule type="expression" dxfId="14" priority="30">
      <formula>$R20="t1?"</formula>
    </cfRule>
  </conditionalFormatting>
  <conditionalFormatting sqref="Q19">
    <cfRule type="expression" dxfId="13" priority="26">
      <formula>CELL("Schutz",Q19)</formula>
    </cfRule>
  </conditionalFormatting>
  <conditionalFormatting sqref="W19">
    <cfRule type="expression" dxfId="12" priority="24">
      <formula>CELL("Schutz",W19)</formula>
    </cfRule>
  </conditionalFormatting>
  <conditionalFormatting sqref="Q20">
    <cfRule type="expression" dxfId="11" priority="23">
      <formula>CELL("Schutz",Q20)</formula>
    </cfRule>
  </conditionalFormatting>
  <conditionalFormatting sqref="T19">
    <cfRule type="expression" dxfId="10" priority="17">
      <formula>CELL("Schutz",T19)</formula>
    </cfRule>
  </conditionalFormatting>
  <conditionalFormatting sqref="T20">
    <cfRule type="expression" dxfId="9" priority="16">
      <formula>CELL("Schutz",T20)</formula>
    </cfRule>
  </conditionalFormatting>
  <conditionalFormatting sqref="AR8:AU8">
    <cfRule type="expression" dxfId="8" priority="10">
      <formula>OR(AND(ISBLANK($AR$8),COUNTBLANK($AH$8:$AN$8)&lt;7),AND(ISBLANK($AR$8),$BF$44&gt;0))</formula>
    </cfRule>
  </conditionalFormatting>
  <conditionalFormatting sqref="AY8:BB8">
    <cfRule type="expression" dxfId="7" priority="8">
      <formula>OR(AND(ISBLANK($AY$8),COUNTBLANK($AH$8:$AN$8)&lt;7),AND(ISBLANK($AY$8),$BF$44&gt;0))</formula>
    </cfRule>
  </conditionalFormatting>
  <conditionalFormatting sqref="AO8:AQ8">
    <cfRule type="expression" dxfId="6" priority="7">
      <formula>OR(COUNTBLANK($AH$8:$AN$8)&lt;7,$BF$44&gt;0)</formula>
    </cfRule>
  </conditionalFormatting>
  <conditionalFormatting sqref="AV8:AX8">
    <cfRule type="expression" dxfId="5" priority="6">
      <formula>OR(COUNTBLANK($AH$8:$AN$8)&lt;7,$BF$44&gt;0)</formula>
    </cfRule>
  </conditionalFormatting>
  <conditionalFormatting sqref="AK8">
    <cfRule type="expression" dxfId="4" priority="5">
      <formula>AND($BF$44&gt;0,ISBLANK(AK8))</formula>
    </cfRule>
  </conditionalFormatting>
  <conditionalFormatting sqref="AL8">
    <cfRule type="expression" dxfId="3" priority="4">
      <formula>AND($BF$44&gt;0,ISBLANK(AL8))</formula>
    </cfRule>
  </conditionalFormatting>
  <conditionalFormatting sqref="AM8">
    <cfRule type="expression" dxfId="2" priority="3">
      <formula>AND($BF$44&gt;0,ISBLANK(AM8))</formula>
    </cfRule>
  </conditionalFormatting>
  <conditionalFormatting sqref="AN8">
    <cfRule type="expression" dxfId="1" priority="2">
      <formula>AND($BF$44&gt;0,ISBLANK(AN8))</formula>
    </cfRule>
  </conditionalFormatting>
  <conditionalFormatting sqref="W20">
    <cfRule type="expression" dxfId="0" priority="1">
      <formula>CELL("Schutz",W20)</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4"/>
      <c r="B3" s="1104"/>
      <c r="C3" s="1104"/>
      <c r="D3" s="1104"/>
      <c r="E3" s="1104"/>
      <c r="F3" s="1104"/>
      <c r="G3" s="1104"/>
      <c r="H3" s="1105"/>
    </row>
    <row r="4" spans="1:8" ht="15">
      <c r="A4" s="22" t="s">
        <v>1146</v>
      </c>
      <c r="B4" s="1103" t="s">
        <v>1172</v>
      </c>
      <c r="C4" s="1103" t="s">
        <v>1148</v>
      </c>
      <c r="D4" s="462" t="str">
        <f>CONCATENATE(A4,$B$4,$C$4)</f>
        <v>ABBC5000SEW</v>
      </c>
      <c r="E4" s="23" t="s">
        <v>1169</v>
      </c>
      <c r="F4" s="23">
        <v>1500</v>
      </c>
      <c r="G4" s="23">
        <v>10000</v>
      </c>
      <c r="H4" s="23" t="s">
        <v>1171</v>
      </c>
    </row>
    <row r="5" spans="1:8" ht="15">
      <c r="A5" s="25" t="s">
        <v>1155</v>
      </c>
      <c r="B5" s="1101"/>
      <c r="C5" s="1101"/>
      <c r="D5" s="463" t="str">
        <f>CONCATENATE(A5,$B$4,$C$4)</f>
        <v>KUKAC5000SEW</v>
      </c>
      <c r="E5" s="26" t="s">
        <v>1169</v>
      </c>
      <c r="F5" s="26">
        <v>1500</v>
      </c>
      <c r="G5" s="26">
        <v>10000</v>
      </c>
      <c r="H5" s="26" t="s">
        <v>1170</v>
      </c>
    </row>
    <row r="6" spans="1:8" ht="15.75" thickBot="1">
      <c r="A6" s="24" t="s">
        <v>1153</v>
      </c>
      <c r="B6" s="1102"/>
      <c r="C6" s="1101"/>
      <c r="D6" s="464" t="str">
        <f>CONCATENATE(A6,$B$4,$C$4)</f>
        <v>FanucC5000SEW</v>
      </c>
      <c r="E6" s="275" t="s">
        <v>1169</v>
      </c>
      <c r="F6" s="275">
        <v>1500</v>
      </c>
      <c r="G6" s="276">
        <v>10000</v>
      </c>
      <c r="H6" s="276" t="s">
        <v>1734</v>
      </c>
    </row>
    <row r="7" spans="1:8" ht="15">
      <c r="A7" s="22" t="s">
        <v>1146</v>
      </c>
      <c r="B7" s="1103" t="s">
        <v>1150</v>
      </c>
      <c r="C7" s="1101"/>
      <c r="D7" s="462" t="str">
        <f>CONCATENATE(A7,$B$7,$C$4)</f>
        <v>ABBC8000SEW</v>
      </c>
      <c r="E7" s="23" t="s">
        <v>1163</v>
      </c>
      <c r="F7" s="23">
        <v>1500</v>
      </c>
      <c r="G7" s="23">
        <v>10000</v>
      </c>
      <c r="H7" s="23" t="s">
        <v>1168</v>
      </c>
    </row>
    <row r="8" spans="1:8" ht="15">
      <c r="A8" s="25" t="s">
        <v>1155</v>
      </c>
      <c r="B8" s="1101"/>
      <c r="C8" s="1101"/>
      <c r="D8" s="463" t="str">
        <f>CONCATENATE(A8,$B$7,$C$4)</f>
        <v>KUKAC8000SEW</v>
      </c>
      <c r="E8" s="26" t="s">
        <v>1163</v>
      </c>
      <c r="F8" s="26">
        <v>1500</v>
      </c>
      <c r="G8" s="26">
        <v>10000</v>
      </c>
      <c r="H8" s="26" t="s">
        <v>1167</v>
      </c>
    </row>
    <row r="9" spans="1:8" ht="15.75" thickBot="1">
      <c r="A9" s="24" t="s">
        <v>1153</v>
      </c>
      <c r="B9" s="1102"/>
      <c r="C9" s="1101"/>
      <c r="D9" s="464" t="str">
        <f>CONCATENATE(A9,$B$7,$C$4)</f>
        <v>FanucC8000SEW</v>
      </c>
      <c r="E9" s="275" t="s">
        <v>1163</v>
      </c>
      <c r="F9" s="275">
        <v>1500</v>
      </c>
      <c r="G9" s="275">
        <v>10000</v>
      </c>
      <c r="H9" s="276" t="s">
        <v>1735</v>
      </c>
    </row>
    <row r="10" spans="1:8" ht="15">
      <c r="A10" s="22" t="s">
        <v>1146</v>
      </c>
      <c r="B10" s="1103" t="s">
        <v>1166</v>
      </c>
      <c r="C10" s="1101"/>
      <c r="D10" s="462" t="str">
        <f>CONCATENATE(A10,$B$10,$C$4)</f>
        <v>ABBC8000 TunnelSEW</v>
      </c>
      <c r="E10" s="23" t="s">
        <v>1163</v>
      </c>
      <c r="F10" s="23">
        <v>1500</v>
      </c>
      <c r="G10" s="23">
        <v>10000</v>
      </c>
      <c r="H10" s="23" t="s">
        <v>1165</v>
      </c>
    </row>
    <row r="11" spans="1:8" ht="15">
      <c r="A11" s="25" t="s">
        <v>1155</v>
      </c>
      <c r="B11" s="1101"/>
      <c r="C11" s="1101"/>
      <c r="D11" s="463" t="str">
        <f>CONCATENATE(A11,$B$10,$C$4)</f>
        <v>KUKAC8000 TunnelSEW</v>
      </c>
      <c r="E11" s="26" t="s">
        <v>1163</v>
      </c>
      <c r="F11" s="26">
        <v>1500</v>
      </c>
      <c r="G11" s="26">
        <v>10000</v>
      </c>
      <c r="H11" s="26" t="s">
        <v>1164</v>
      </c>
    </row>
    <row r="12" spans="1:8" ht="15.75" thickBot="1">
      <c r="A12" s="24" t="s">
        <v>1153</v>
      </c>
      <c r="B12" s="1102"/>
      <c r="C12" s="1101"/>
      <c r="D12" s="464" t="str">
        <f>CONCATENATE(A12,$B$10,$C$4)</f>
        <v>FanucC8000 TunnelSEW</v>
      </c>
      <c r="E12" s="275" t="s">
        <v>1163</v>
      </c>
      <c r="F12" s="275">
        <v>1500</v>
      </c>
      <c r="G12" s="275">
        <v>10000</v>
      </c>
      <c r="H12" s="276" t="s">
        <v>1736</v>
      </c>
    </row>
    <row r="13" spans="1:8" ht="15">
      <c r="A13" s="22" t="s">
        <v>1146</v>
      </c>
      <c r="B13" s="1103" t="s">
        <v>1162</v>
      </c>
      <c r="C13" s="1101"/>
      <c r="D13" s="462" t="str">
        <f>CONCATENATE(A13,$B$13,$C$4)</f>
        <v>ABBX100SEW</v>
      </c>
      <c r="E13" s="23" t="s">
        <v>1159</v>
      </c>
      <c r="F13" s="23">
        <v>2000</v>
      </c>
      <c r="G13" s="23">
        <v>12000</v>
      </c>
      <c r="H13" s="23" t="s">
        <v>1161</v>
      </c>
    </row>
    <row r="14" spans="1:8" ht="15">
      <c r="A14" s="25" t="s">
        <v>1155</v>
      </c>
      <c r="B14" s="1101"/>
      <c r="C14" s="1101"/>
      <c r="D14" s="463" t="str">
        <f>CONCATENATE(A14,$B$13,$C$4)</f>
        <v>KUKAX100SEW</v>
      </c>
      <c r="E14" s="26" t="s">
        <v>1159</v>
      </c>
      <c r="F14" s="26">
        <v>2000</v>
      </c>
      <c r="G14" s="26">
        <v>12000</v>
      </c>
      <c r="H14" s="26" t="s">
        <v>1160</v>
      </c>
    </row>
    <row r="15" spans="1:8" ht="15.75" thickBot="1">
      <c r="A15" s="24" t="s">
        <v>1153</v>
      </c>
      <c r="B15" s="1102"/>
      <c r="C15" s="1101"/>
      <c r="D15" s="465" t="str">
        <f>CONCATENATE(A15,$B$13,$C$4)</f>
        <v>FanucX100SEW</v>
      </c>
      <c r="E15" s="21" t="s">
        <v>1159</v>
      </c>
      <c r="F15" s="21">
        <v>2000</v>
      </c>
      <c r="G15" s="21">
        <v>12000</v>
      </c>
      <c r="H15" s="21" t="s">
        <v>1737</v>
      </c>
    </row>
    <row r="16" spans="1:8" ht="15">
      <c r="A16" s="22" t="s">
        <v>1146</v>
      </c>
      <c r="B16" s="1103" t="s">
        <v>1158</v>
      </c>
      <c r="C16" s="1101"/>
      <c r="D16" s="462" t="str">
        <f>CONCATENATE(A16,$B$16,$C$4)</f>
        <v>ABBX120SEW</v>
      </c>
      <c r="E16" s="23" t="s">
        <v>1157</v>
      </c>
      <c r="F16" s="23">
        <v>2500</v>
      </c>
      <c r="G16" s="23">
        <v>19500</v>
      </c>
      <c r="H16" s="23" t="s">
        <v>1156</v>
      </c>
    </row>
    <row r="17" spans="1:8" ht="15">
      <c r="A17" s="466" t="s">
        <v>1155</v>
      </c>
      <c r="B17" s="1101"/>
      <c r="C17" s="1101"/>
      <c r="D17" s="469" t="str">
        <f t="shared" ref="D17:D18" si="0">CONCATENATE(A17,$B$16,$C$4)</f>
        <v>KUKAX120SEW</v>
      </c>
      <c r="E17" s="26" t="s">
        <v>1746</v>
      </c>
      <c r="F17" s="26"/>
      <c r="G17" s="26"/>
      <c r="H17" s="26"/>
    </row>
    <row r="18" spans="1:8" ht="15.75" thickBot="1">
      <c r="A18" s="24" t="s">
        <v>1153</v>
      </c>
      <c r="B18" s="1102"/>
      <c r="C18" s="1101"/>
      <c r="D18" s="465" t="str">
        <f t="shared" si="0"/>
        <v>FanucX120SEW</v>
      </c>
      <c r="E18" s="21" t="s">
        <v>1746</v>
      </c>
      <c r="F18" s="21"/>
      <c r="G18" s="21"/>
      <c r="H18" s="21"/>
    </row>
    <row r="19" spans="1:8" ht="15">
      <c r="A19" s="22" t="s">
        <v>1146</v>
      </c>
      <c r="B19" s="1103" t="s">
        <v>1747</v>
      </c>
      <c r="C19" s="1101"/>
      <c r="D19" s="470" t="str">
        <f>CONCATENATE(A19,$B$19,$C$4)</f>
        <v>ABBX120 (Doppelzange)SEW</v>
      </c>
      <c r="E19" s="470" t="s">
        <v>1746</v>
      </c>
      <c r="F19" s="470"/>
      <c r="G19" s="470"/>
      <c r="H19" s="470"/>
    </row>
    <row r="20" spans="1:8" ht="15">
      <c r="A20" s="466" t="s">
        <v>1155</v>
      </c>
      <c r="B20" s="1101"/>
      <c r="C20" s="1101"/>
      <c r="D20" s="470" t="str">
        <f t="shared" ref="D20:D21" si="1">CONCATENATE(A20,$B$19,$C$4)</f>
        <v>KUKAX120 (Doppelzange)SEW</v>
      </c>
      <c r="E20" s="470" t="s">
        <v>1152</v>
      </c>
      <c r="F20" s="470">
        <v>2500</v>
      </c>
      <c r="G20" s="470">
        <v>19500</v>
      </c>
      <c r="H20" s="470" t="s">
        <v>1154</v>
      </c>
    </row>
    <row r="21" spans="1:8" ht="15.75" thickBot="1">
      <c r="A21" s="20" t="s">
        <v>1153</v>
      </c>
      <c r="B21" s="1102"/>
      <c r="C21" s="1101"/>
      <c r="D21" s="470" t="str">
        <f t="shared" si="1"/>
        <v>FanucX120 (Doppelzange)SEW</v>
      </c>
      <c r="E21" s="21" t="s">
        <v>1152</v>
      </c>
      <c r="F21" s="21">
        <v>2500</v>
      </c>
      <c r="G21" s="21">
        <v>19500</v>
      </c>
      <c r="H21" s="21" t="s">
        <v>1738</v>
      </c>
    </row>
    <row r="22" spans="1:8" ht="15">
      <c r="A22" s="22" t="s">
        <v>1146</v>
      </c>
      <c r="B22" s="1103" t="s">
        <v>1739</v>
      </c>
      <c r="C22" s="1101"/>
      <c r="D22" s="462" t="str">
        <f t="shared" ref="D22:D24" si="2">CONCATENATE(A22,$B$22,$C$4)</f>
        <v>ABBX125SEW</v>
      </c>
      <c r="E22" s="23" t="s">
        <v>1157</v>
      </c>
      <c r="F22" s="23">
        <v>2500</v>
      </c>
      <c r="G22" s="23">
        <v>19500</v>
      </c>
      <c r="H22" s="26"/>
    </row>
    <row r="23" spans="1:8" ht="15">
      <c r="A23" s="466" t="s">
        <v>1155</v>
      </c>
      <c r="B23" s="1101"/>
      <c r="C23" s="1101"/>
      <c r="D23" s="469" t="str">
        <f t="shared" si="2"/>
        <v>KUKAX125SEW</v>
      </c>
      <c r="E23" s="470" t="s">
        <v>1152</v>
      </c>
      <c r="F23" s="470">
        <v>2500</v>
      </c>
      <c r="G23" s="470">
        <v>19500</v>
      </c>
      <c r="H23" s="470"/>
    </row>
    <row r="24" spans="1:8" ht="15.75" thickBot="1">
      <c r="A24" s="20" t="s">
        <v>1153</v>
      </c>
      <c r="B24" s="1102"/>
      <c r="C24" s="1101"/>
      <c r="D24" s="465" t="str">
        <f t="shared" si="2"/>
        <v>FanucX125SEW</v>
      </c>
      <c r="E24" s="21" t="s">
        <v>1152</v>
      </c>
      <c r="F24" s="21">
        <v>2500</v>
      </c>
      <c r="G24" s="21">
        <v>19500</v>
      </c>
      <c r="H24" s="21"/>
    </row>
    <row r="25" spans="1:8" ht="15">
      <c r="A25" s="22" t="s">
        <v>1146</v>
      </c>
      <c r="B25" s="1101" t="s">
        <v>1748</v>
      </c>
      <c r="C25" s="1101"/>
      <c r="D25" s="23" t="str">
        <f>CONCATENATE(A25,$B$25,$C$4)</f>
        <v>ABBX125 (Doppelzange)SEW</v>
      </c>
      <c r="E25" s="23" t="s">
        <v>1157</v>
      </c>
      <c r="F25" s="23">
        <v>2500</v>
      </c>
      <c r="G25" s="23">
        <v>19500</v>
      </c>
      <c r="H25" s="23"/>
    </row>
    <row r="26" spans="1:8" ht="15">
      <c r="A26" s="466" t="s">
        <v>1155</v>
      </c>
      <c r="B26" s="1101"/>
      <c r="C26" s="1101"/>
      <c r="D26" s="26" t="str">
        <f t="shared" ref="D26:D27" si="3">CONCATENATE(A26,$B$25,$C$4)</f>
        <v>KUKAX125 (Doppelzange)SEW</v>
      </c>
      <c r="E26" s="470" t="s">
        <v>1152</v>
      </c>
      <c r="F26" s="470">
        <v>2500</v>
      </c>
      <c r="G26" s="470">
        <v>19500</v>
      </c>
      <c r="H26" s="470"/>
    </row>
    <row r="27" spans="1:8" ht="15.75" thickBot="1">
      <c r="A27" s="20" t="s">
        <v>1153</v>
      </c>
      <c r="B27" s="1102"/>
      <c r="C27" s="1102"/>
      <c r="D27" s="21" t="str">
        <f t="shared" si="3"/>
        <v>FanucX125 (Doppelzange)SEW</v>
      </c>
      <c r="E27" s="21" t="s">
        <v>1152</v>
      </c>
      <c r="F27" s="21">
        <v>2500</v>
      </c>
      <c r="G27" s="21">
        <v>19500</v>
      </c>
      <c r="H27" s="21"/>
    </row>
    <row r="28" spans="1:8" ht="15">
      <c r="A28" s="22" t="s">
        <v>1146</v>
      </c>
      <c r="B28" s="1103" t="s">
        <v>1172</v>
      </c>
      <c r="C28" s="1106" t="s">
        <v>1693</v>
      </c>
      <c r="D28" s="23" t="str">
        <f>CONCATENATE(A28,$B$28,$C$28)</f>
        <v>ABBC5000Tolomatic</v>
      </c>
      <c r="E28" s="22" t="s">
        <v>1740</v>
      </c>
      <c r="F28" s="23">
        <v>1500</v>
      </c>
      <c r="G28" s="23">
        <v>7560</v>
      </c>
      <c r="H28" s="22" t="s">
        <v>1695</v>
      </c>
    </row>
    <row r="29" spans="1:8" ht="15">
      <c r="A29" s="25" t="s">
        <v>1155</v>
      </c>
      <c r="B29" s="1101"/>
      <c r="C29" s="1107"/>
      <c r="D29" s="26" t="str">
        <f t="shared" ref="D29:D30" si="4">CONCATENATE(A29,$B$28,$C$28)</f>
        <v>KUKAC5000Tolomatic</v>
      </c>
      <c r="E29" s="25" t="s">
        <v>1740</v>
      </c>
      <c r="F29" s="26">
        <v>1500</v>
      </c>
      <c r="G29" s="26">
        <v>7560</v>
      </c>
      <c r="H29" s="25" t="s">
        <v>1696</v>
      </c>
    </row>
    <row r="30" spans="1:8" ht="15.75" thickBot="1">
      <c r="A30" s="24" t="s">
        <v>1153</v>
      </c>
      <c r="B30" s="1102"/>
      <c r="C30" s="1107"/>
      <c r="D30" s="21" t="str">
        <f t="shared" si="4"/>
        <v>FanucC5000Tolomatic</v>
      </c>
      <c r="E30" s="20" t="s">
        <v>1740</v>
      </c>
      <c r="F30" s="21">
        <v>1500</v>
      </c>
      <c r="G30" s="21">
        <v>7560</v>
      </c>
      <c r="H30" s="20">
        <v>28330057</v>
      </c>
    </row>
    <row r="31" spans="1:8" ht="15">
      <c r="A31" s="22" t="s">
        <v>1146</v>
      </c>
      <c r="B31" s="1103" t="s">
        <v>1150</v>
      </c>
      <c r="C31" s="1107"/>
      <c r="D31" s="470" t="str">
        <f>CONCATENATE(A31,$B$31,$C$28)</f>
        <v>ABBC8000Tolomatic</v>
      </c>
      <c r="E31" s="488" t="s">
        <v>1741</v>
      </c>
      <c r="F31" s="23">
        <v>1500</v>
      </c>
      <c r="G31" s="23">
        <v>11100</v>
      </c>
      <c r="H31" s="22">
        <v>28330079</v>
      </c>
    </row>
    <row r="32" spans="1:8" ht="15">
      <c r="A32" s="25" t="s">
        <v>1155</v>
      </c>
      <c r="B32" s="1101"/>
      <c r="C32" s="1107"/>
      <c r="D32" s="26" t="str">
        <f t="shared" ref="D32:D33" si="5">CONCATENATE(A32,$B$31,$C$28)</f>
        <v>KUKAC8000Tolomatic</v>
      </c>
      <c r="E32" s="466" t="s">
        <v>1741</v>
      </c>
      <c r="F32" s="26">
        <v>1500</v>
      </c>
      <c r="G32" s="26">
        <v>11100</v>
      </c>
      <c r="H32" s="25" t="s">
        <v>1742</v>
      </c>
    </row>
    <row r="33" spans="1:8" ht="15.75" thickBot="1">
      <c r="A33" s="24" t="s">
        <v>1153</v>
      </c>
      <c r="B33" s="1102"/>
      <c r="C33" s="1107"/>
      <c r="D33" s="21" t="str">
        <f t="shared" si="5"/>
        <v>FanucC8000Tolomatic</v>
      </c>
      <c r="E33" s="487" t="s">
        <v>1741</v>
      </c>
      <c r="F33" s="275">
        <v>1500</v>
      </c>
      <c r="G33" s="275">
        <v>11100</v>
      </c>
      <c r="H33" s="24">
        <v>28330081</v>
      </c>
    </row>
    <row r="34" spans="1:8" ht="15">
      <c r="A34" s="22" t="s">
        <v>1146</v>
      </c>
      <c r="B34" s="1103" t="s">
        <v>1166</v>
      </c>
      <c r="C34" s="1107"/>
      <c r="D34" s="470" t="str">
        <f>CONCATENATE(A34,$B$34,$C$28)</f>
        <v>ABBC8000 TunnelTolomatic</v>
      </c>
      <c r="E34" s="22" t="s">
        <v>1741</v>
      </c>
      <c r="F34" s="23">
        <v>1500</v>
      </c>
      <c r="G34" s="23">
        <v>11100</v>
      </c>
      <c r="H34" s="22">
        <v>28330034</v>
      </c>
    </row>
    <row r="35" spans="1:8" ht="15">
      <c r="A35" s="25" t="s">
        <v>1155</v>
      </c>
      <c r="B35" s="1101"/>
      <c r="C35" s="1107"/>
      <c r="D35" s="26" t="str">
        <f t="shared" ref="D35:D36" si="6">CONCATENATE(A35,$B$34,$C$28)</f>
        <v>KUKAC8000 TunnelTolomatic</v>
      </c>
      <c r="E35" s="25" t="s">
        <v>1741</v>
      </c>
      <c r="F35" s="26">
        <v>1500</v>
      </c>
      <c r="G35" s="26">
        <v>11100</v>
      </c>
      <c r="H35" s="25">
        <v>28330051</v>
      </c>
    </row>
    <row r="36" spans="1:8" ht="15.75" thickBot="1">
      <c r="A36" s="24" t="s">
        <v>1153</v>
      </c>
      <c r="B36" s="1102"/>
      <c r="C36" s="1107"/>
      <c r="D36" s="21" t="str">
        <f t="shared" si="6"/>
        <v>FanucC8000 TunnelTolomatic</v>
      </c>
      <c r="E36" s="20" t="s">
        <v>1741</v>
      </c>
      <c r="F36" s="21">
        <v>1500</v>
      </c>
      <c r="G36" s="275">
        <v>11100</v>
      </c>
      <c r="H36" s="20">
        <v>28330085</v>
      </c>
    </row>
    <row r="37" spans="1:8" ht="15">
      <c r="A37" s="22" t="s">
        <v>1146</v>
      </c>
      <c r="B37" s="1103" t="s">
        <v>1162</v>
      </c>
      <c r="C37" s="1107"/>
      <c r="D37" s="470" t="str">
        <f>CONCATENATE(A37,$B$37,$C$28)</f>
        <v>ABBX100Tolomatic</v>
      </c>
      <c r="E37" s="22" t="s">
        <v>1743</v>
      </c>
      <c r="F37" s="23">
        <v>2000</v>
      </c>
      <c r="G37" s="23">
        <v>14680</v>
      </c>
      <c r="H37" s="22">
        <v>28440187</v>
      </c>
    </row>
    <row r="38" spans="1:8" ht="15">
      <c r="A38" s="25" t="s">
        <v>1155</v>
      </c>
      <c r="B38" s="1101"/>
      <c r="C38" s="1107"/>
      <c r="D38" s="26" t="str">
        <f t="shared" ref="D38:D39" si="7">CONCATENATE(A38,$B$37,$C$28)</f>
        <v>KUKAX100Tolomatic</v>
      </c>
      <c r="E38" s="25" t="s">
        <v>1743</v>
      </c>
      <c r="F38" s="26">
        <v>2000</v>
      </c>
      <c r="G38" s="26">
        <v>14680</v>
      </c>
      <c r="H38" s="25">
        <v>28440189</v>
      </c>
    </row>
    <row r="39" spans="1:8" ht="15.75" thickBot="1">
      <c r="A39" s="24" t="s">
        <v>1153</v>
      </c>
      <c r="B39" s="1102"/>
      <c r="C39" s="1107"/>
      <c r="D39" s="21" t="str">
        <f t="shared" si="7"/>
        <v>FanucX100Tolomatic</v>
      </c>
      <c r="E39" s="20" t="s">
        <v>1743</v>
      </c>
      <c r="F39" s="21">
        <v>2000</v>
      </c>
      <c r="G39" s="21">
        <v>14680</v>
      </c>
      <c r="H39" s="20">
        <v>28440188</v>
      </c>
    </row>
    <row r="40" spans="1:8" ht="15">
      <c r="A40" s="22" t="s">
        <v>1146</v>
      </c>
      <c r="B40" s="1103" t="s">
        <v>1739</v>
      </c>
      <c r="C40" s="1107"/>
      <c r="D40" s="470" t="str">
        <f>CONCATENATE(A40,$B$40,$C$28)</f>
        <v>ABBX125Tolomatic</v>
      </c>
      <c r="E40" s="22" t="s">
        <v>1744</v>
      </c>
      <c r="F40" s="23">
        <v>2500</v>
      </c>
      <c r="G40" s="23">
        <v>24000</v>
      </c>
      <c r="H40" s="23">
        <v>28440192</v>
      </c>
    </row>
    <row r="41" spans="1:8" ht="15">
      <c r="A41" s="466" t="s">
        <v>1155</v>
      </c>
      <c r="B41" s="1101"/>
      <c r="C41" s="1107"/>
      <c r="D41" s="26" t="str">
        <f t="shared" ref="D41:D42" si="8">CONCATENATE(A41,$B$40,$C$28)</f>
        <v>KUKAX125Tolomatic</v>
      </c>
      <c r="E41" s="25" t="s">
        <v>1744</v>
      </c>
      <c r="F41" s="26">
        <v>2500</v>
      </c>
      <c r="G41" s="26">
        <v>24000</v>
      </c>
      <c r="H41" s="26">
        <v>28440191</v>
      </c>
    </row>
    <row r="42" spans="1:8" ht="15.75" thickBot="1">
      <c r="A42" s="20" t="s">
        <v>1153</v>
      </c>
      <c r="B42" s="1102"/>
      <c r="C42" s="1107"/>
      <c r="D42" s="21" t="str">
        <f t="shared" si="8"/>
        <v>FanucX125Tolomatic</v>
      </c>
      <c r="E42" s="20" t="s">
        <v>1744</v>
      </c>
      <c r="F42" s="21">
        <v>2500</v>
      </c>
      <c r="G42" s="21">
        <v>24000</v>
      </c>
      <c r="H42" s="24">
        <v>28440190</v>
      </c>
    </row>
    <row r="43" spans="1:8" ht="15">
      <c r="A43" s="22" t="s">
        <v>1146</v>
      </c>
      <c r="B43" s="1103" t="s">
        <v>1748</v>
      </c>
      <c r="C43" s="1107"/>
      <c r="D43" s="470" t="str">
        <f>CONCATENATE(A43,$B$43,$C$28)</f>
        <v>ABBX125 (Doppelzange)Tolomatic</v>
      </c>
      <c r="E43" s="22" t="s">
        <v>1745</v>
      </c>
      <c r="F43" s="23">
        <v>2500</v>
      </c>
      <c r="G43" s="23">
        <v>24000</v>
      </c>
      <c r="H43" s="23">
        <v>28440213</v>
      </c>
    </row>
    <row r="44" spans="1:8" ht="15">
      <c r="A44" s="466" t="s">
        <v>1155</v>
      </c>
      <c r="B44" s="1101"/>
      <c r="C44" s="1107"/>
      <c r="D44" s="26" t="str">
        <f t="shared" ref="D44:D45" si="9">CONCATENATE(A44,$B$43,$C$28)</f>
        <v>KUKAX125 (Doppelzange)Tolomatic</v>
      </c>
      <c r="E44" s="25" t="s">
        <v>1745</v>
      </c>
      <c r="F44" s="26">
        <v>2500</v>
      </c>
      <c r="G44" s="26">
        <v>24000</v>
      </c>
      <c r="H44" s="26">
        <v>28440212</v>
      </c>
    </row>
    <row r="45" spans="1:8" ht="15.75" thickBot="1">
      <c r="A45" s="20" t="s">
        <v>1153</v>
      </c>
      <c r="B45" s="1102"/>
      <c r="C45" s="1108"/>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 ref="A3:H3"/>
    <mergeCell ref="B4:B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Blatt_1_1520R01</vt:lpstr>
      <vt:lpstr>Punktplan LTVR_4_1520R01</vt:lpstr>
      <vt:lpstr>Materialliste</vt:lpstr>
      <vt:lpstr>Motordaten</vt:lpstr>
      <vt:lpstr>Hinweise (Notes)</vt:lpstr>
      <vt:lpstr>Änderungshistorie</vt:lpstr>
      <vt:lpstr>'Blatt 0'!Area_de_impressao</vt:lpstr>
      <vt:lpstr>Blatt_1_1520R01!Area_de_impressao</vt:lpstr>
      <vt:lpstr>'Punktplan LTVR_4_1520R01'!Area_de_impressao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2023-06-21T13:23:41Z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