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2_FINAL_V02\LTVR\"/>
    </mc:Choice>
  </mc:AlternateContent>
  <bookViews>
    <workbookView xWindow="0" yWindow="0" windowWidth="28800" windowHeight="12435" tabRatio="798" activeTab="2"/>
  </bookViews>
  <sheets>
    <sheet name="Blatt 0" sheetId="1" r:id="rId1"/>
    <sheet name="Blatt_1_1610R01" sheetId="38" r:id="rId2"/>
    <sheet name="Punktplan LTVR_4_16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LTVR_4_1610R01'!$M$19:$M$32</definedName>
    <definedName name="_xlnm.Print_Area" localSheetId="0">'Blatt 0'!$A$1:$AK$60</definedName>
    <definedName name="_xlnm.Print_Area" localSheetId="1">Blatt_1_1610R01!$A$1:$AK$60</definedName>
    <definedName name="_xlnm.Print_Area" localSheetId="2">'Punktplan LTVR_4_1610R01'!$A$1:$BB$58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<sst xmlns="http://schemas.openxmlformats.org/spreadsheetml/2006/main" count="2212" uniqueCount="1950">
  <si>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</si>
  <si>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</si>
  <si>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</si>
  <si>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</si>
  <si>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</si>
  <si>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</si>
  <si>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</si>
  <si>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</si>
  <si>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</si>
  <si>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</si>
  <si>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</si>
  <si>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</si>
  <si>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</si>
  <si>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</si>
  <si>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</si>
  <si>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</si>
  <si>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</si>
  <si>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</si>
  <si>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</si>
  <si>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</si>
  <si>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</si>
  <si>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</si>
  <si>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</si>
  <si>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</si>
  <si>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</si>
  <si>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</si>
  <si>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</si>
  <si>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</si>
  <si>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</si>
  <si>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</si>
  <si>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</si>
  <si>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</si>
  <si>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</si>
  <si>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</si>
  <si>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</si>
  <si>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</si>
  <si>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</si>
  <si>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</si>
  <si>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</si>
  <si>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</si>
  <si>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</si>
  <si>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</si>
  <si>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</si>
  <si>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</si>
  <si>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</si>
  <si>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</si>
  <si>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</si>
  <si>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</si>
  <si>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</si>
  <si>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</si>
  <si>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</si>
  <si>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</si>
  <si>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</si>
  <si>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</si>
  <si>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</si>
  <si>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</si>
  <si>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</si>
  <si>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</si>
  <si>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</si>
  <si>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</si>
  <si>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</si>
  <si>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</si>
  <si>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</si>
  <si>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</si>
  <si>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</si>
  <si>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</si>
  <si>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</si>
  <si>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</si>
  <si>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</si>
  <si>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</si>
  <si>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</si>
  <si>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</si>
  <si>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</si>
  <si>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</si>
  <si>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</si>
  <si>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</si>
  <si>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</si>
  <si>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</si>
  <si>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</si>
  <si>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</si>
  <si>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</si>
  <si>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</si>
  <si>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</si>
  <si>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</si>
  <si>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</si>
  <si>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</si>
  <si>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</si>
  <si>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</si>
  <si>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</si>
  <si>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</si>
  <si>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</si>
  <si>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</si>
  <si>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</si>
  <si>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</si>
  <si>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</si>
  <si>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</si>
  <si>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</si>
  <si>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</si>
  <si>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</si>
  <si>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</si>
  <si>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</si>
  <si>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</si>
  <si>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</si>
  <si>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</si>
  <si>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</si>
  <si>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</si>
  <si>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</si>
  <si>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</si>
  <si>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</si>
  <si>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</si>
  <si>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</si>
  <si>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</si>
  <si>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</si>
  <si>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</si>
  <si>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</si>
  <si>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</si>
  <si>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</si>
  <si>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</si>
  <si>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</si>
  <si>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</si>
  <si>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</si>
  <si>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</si>
  <si>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</si>
  <si>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</si>
  <si>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</si>
  <si>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</si>
  <si>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</si>
  <si>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</si>
  <si>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</si>
  <si>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</si>
  <si>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</si>
  <si>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</si>
  <si>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</si>
  <si>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</si>
  <si>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</si>
  <si>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</si>
  <si>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</si>
  <si>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</si>
  <si>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</si>
  <si>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</si>
  <si>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</si>
  <si>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</si>
  <si>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</si>
  <si>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</si>
  <si>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</si>
  <si>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</si>
  <si>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</si>
  <si>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</si>
  <si>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</si>
  <si>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</si>
  <si>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</si>
  <si>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</si>
  <si>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</si>
  <si>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</si>
  <si>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</si>
  <si>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</si>
  <si>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</si>
  <si>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</si>
  <si>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</si>
  <si>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</si>
  <si>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</si>
  <si>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</si>
  <si>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</si>
  <si>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</si>
  <si>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</si>
  <si>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</si>
  <si>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</si>
  <si>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</si>
  <si>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</si>
  <si>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</si>
  <si>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</si>
  <si>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</si>
  <si>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</si>
  <si>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</si>
  <si>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</si>
  <si>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</si>
  <si>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</si>
  <si>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</si>
  <si>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</si>
  <si>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</si>
  <si>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</si>
  <si>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</si>
  <si>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</si>
  <si>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</si>
  <si>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</si>
  <si>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</si>
  <si>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</si>
  <si>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</si>
  <si>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</si>
  <si>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</si>
  <si>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</si>
  <si>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</si>
  <si>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</si>
  <si>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</si>
  <si>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</si>
  <si>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</si>
  <si>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</si>
  <si>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</si>
  <si>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</si>
  <si>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</si>
  <si>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</si>
  <si>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</si>
  <si>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</si>
  <si>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</si>
  <si>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</si>
  <si>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</si>
  <si>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</si>
  <si>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</si>
  <si>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</si>
  <si>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</si>
  <si>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</si>
  <si>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</si>
  <si>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</si>
  <si>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</si>
  <si>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</si>
  <si>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</si>
  <si>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</si>
  <si>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</si>
  <si>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</si>
  <si>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</si>
  <si>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</si>
  <si>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</si>
  <si>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</si>
  <si>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</si>
  <si>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</si>
  <si>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</si>
  <si>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</si>
  <si>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</si>
  <si>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</si>
  <si>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</si>
  <si>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</si>
  <si>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</si>
  <si>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</si>
  <si>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</si>
  <si>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</si>
  <si>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</si>
  <si>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</si>
  <si>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</si>
  <si>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</si>
  <si>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</si>
  <si>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</si>
  <si>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</si>
  <si>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</si>
  <si>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</si>
  <si>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</si>
  <si>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</si>
  <si>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</si>
  <si>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</si>
  <si>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</si>
  <si>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</si>
  <si>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</si>
  <si>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</si>
  <si>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</si>
  <si>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</si>
  <si>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</si>
  <si>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</si>
  <si>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</si>
  <si>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</si>
  <si>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</si>
  <si>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</si>
  <si>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</si>
  <si>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</si>
  <si>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</si>
  <si>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</si>
  <si>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</si>
  <si>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</si>
  <si>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</si>
  <si>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</si>
  <si>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</si>
  <si>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</si>
  <si>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</si>
  <si>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</si>
  <si>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</si>
  <si>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</si>
  <si>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</si>
  <si>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</si>
  <si>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</si>
  <si>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</si>
  <si>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</si>
  <si>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</si>
  <si>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</si>
  <si>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</si>
  <si>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</si>
  <si>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</si>
  <si>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</si>
  <si>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</si>
  <si>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</si>
  <si>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</si>
  <si>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</si>
  <si>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</si>
  <si>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</si>
  <si>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</si>
  <si>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</si>
  <si>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</si>
  <si>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</si>
  <si>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</si>
  <si>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</si>
  <si>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</si>
  <si>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</si>
  <si>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</si>
  <si>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</si>
  <si>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</si>
  <si>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</si>
  <si>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</si>
  <si>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</si>
  <si>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</si>
  <si>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</si>
  <si>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</si>
  <si>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</si>
  <si>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</si>
  <si>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</si>
  <si>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</si>
  <si>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</si>
  <si>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</si>
  <si>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</si>
  <si>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</si>
  <si>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</si>
  <si>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</si>
  <si>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</si>
  <si>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</si>
  <si>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</si>
  <si>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</si>
  <si>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</si>
  <si>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</si>
  <si>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</si>
  <si>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</si>
  <si>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</si>
  <si>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</si>
  <si>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</si>
  <si>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</si>
  <si>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</si>
  <si>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</si>
  <si>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</si>
  <si>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</si>
  <si>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</si>
  <si>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</si>
  <si>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</si>
  <si>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</si>
  <si>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</si>
  <si>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</si>
  <si>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</si>
  <si>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</si>
  <si>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</si>
  <si>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</si>
  <si>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</si>
  <si>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</si>
  <si>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</si>
  <si>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</si>
  <si>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</si>
  <si>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</si>
  <si>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</si>
  <si>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</si>
  <si>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</si>
  <si>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</si>
  <si>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</si>
  <si>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</si>
  <si>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</si>
  <si>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</si>
  <si>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</si>
  <si>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</si>
  <si>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</si>
  <si>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</si>
  <si>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</si>
  <si>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</si>
  <si>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</si>
  <si>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</si>
  <si>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</si>
  <si>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</si>
  <si>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</si>
  <si>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</si>
  <si>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</si>
  <si>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</si>
  <si>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</si>
  <si>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</si>
  <si>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</si>
  <si>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</si>
  <si>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</si>
  <si>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</si>
  <si>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</si>
  <si>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</si>
  <si>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</si>
  <si>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</si>
  <si>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</si>
  <si>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</si>
  <si>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</si>
  <si>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</si>
  <si>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</si>
  <si>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</si>
  <si>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</si>
  <si>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</si>
  <si>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</si>
  <si>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</si>
  <si>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</si>
  <si>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</si>
  <si>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</si>
  <si>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</si>
  <si>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</si>
  <si>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</si>
  <si>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</si>
  <si>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</si>
  <si>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</si>
  <si>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</si>
  <si>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</si>
  <si>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</si>
  <si>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</si>
  <si>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</si>
  <si>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</si>
  <si>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</si>
  <si>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</si>
  <si>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</si>
  <si>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</si>
  <si>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</si>
  <si>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</si>
  <si>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</si>
  <si>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</si>
  <si>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</si>
  <si>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</si>
  <si>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</si>
  <si>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</si>
  <si>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</si>
  <si>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</si>
  <si>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</si>
  <si>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</si>
  <si>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</si>
  <si>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</si>
  <si>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</si>
  <si>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</si>
  <si>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</si>
  <si>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</si>
  <si>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</si>
  <si>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</si>
  <si>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</si>
  <si>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</si>
  <si>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</si>
  <si>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</si>
  <si>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</si>
  <si>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</si>
  <si>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</si>
  <si>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</si>
  <si>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</si>
  <si>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</si>
  <si>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</si>
  <si>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</si>
  <si>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</si>
  <si>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</si>
  <si>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</si>
  <si>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</si>
  <si>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</si>
  <si>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</si>
  <si>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</si>
  <si>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</si>
  <si>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</si>
  <si>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</si>
  <si>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</si>
  <si>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</si>
  <si>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</si>
  <si>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</si>
  <si>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</si>
  <si>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</si>
  <si>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</si>
  <si>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</si>
  <si>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</si>
  <si>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</si>
  <si>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</si>
  <si>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</si>
  <si>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</si>
  <si>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</si>
  <si>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</si>
  <si>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</si>
  <si>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</si>
  <si>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</si>
  <si>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</si>
  <si>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</si>
  <si>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</si>
  <si>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</si>
  <si>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</si>
  <si>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</si>
  <si>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</si>
  <si>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</si>
  <si>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</si>
  <si>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</si>
  <si>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</si>
  <si>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</si>
  <si>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</si>
  <si>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</si>
  <si>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</si>
  <si>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</si>
  <si>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</si>
  <si>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</si>
  <si>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</si>
  <si>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</si>
  <si>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</si>
  <si>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</si>
  <si>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</si>
  <si>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</si>
  <si>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</si>
  <si>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</si>
  <si>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</si>
  <si>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</si>
  <si>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</si>
  <si>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</si>
  <si>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</si>
  <si>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</si>
  <si>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</si>
  <si>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</si>
  <si>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</si>
  <si>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</si>
  <si>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</si>
  <si>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</si>
  <si>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</si>
  <si>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</si>
  <si>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</si>
  <si>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</si>
  <si>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</si>
  <si>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</si>
  <si>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</si>
  <si>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</si>
  <si>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</si>
  <si>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</si>
  <si>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</si>
  <si>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</si>
  <si>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</si>
  <si>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</si>
  <si>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</si>
  <si>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</si>
  <si>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</si>
  <si>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</si>
  <si>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</si>
  <si>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</si>
  <si>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</si>
  <si>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</si>
  <si>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</si>
  <si>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</si>
  <si>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</si>
  <si>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</si>
  <si>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</si>
  <si>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</si>
  <si>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</si>
  <si>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</si>
  <si>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</si>
  <si>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</si>
  <si>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</si>
  <si>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</si>
  <si>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</si>
  <si>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</si>
  <si>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</si>
  <si>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</si>
  <si>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</si>
  <si>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</si>
  <si>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</si>
  <si>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</si>
  <si>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</si>
  <si>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</si>
  <si>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</si>
  <si>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</si>
  <si>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</si>
  <si>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</si>
  <si>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</si>
  <si>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</si>
  <si>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</si>
  <si>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</si>
  <si>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</si>
  <si>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</si>
  <si>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</si>
  <si>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</si>
  <si>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</si>
  <si>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</si>
  <si>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</si>
  <si>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</si>
  <si>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</si>
  <si>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</si>
  <si>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</si>
  <si>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</si>
  <si>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</si>
  <si>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</si>
  <si>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</si>
  <si>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</si>
  <si>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</si>
  <si>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</si>
  <si>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</si>
  <si>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</si>
  <si>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</si>
  <si>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</si>
  <si>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</si>
  <si>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</si>
  <si>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</si>
  <si>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</si>
  <si>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</si>
  <si>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</si>
  <si>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</si>
  <si>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</si>
  <si>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</si>
  <si>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</si>
  <si>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</si>
  <si>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</si>
  <si>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</si>
  <si>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</si>
  <si>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</si>
  <si>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</si>
  <si>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</si>
  <si>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</si>
  <si>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</si>
  <si>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</si>
  <si>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</si>
  <si>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</si>
  <si>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</si>
  <si>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</si>
  <si>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</si>
  <si>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</si>
  <si>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</si>
  <si>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</si>
  <si>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</si>
  <si>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</si>
  <si>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</si>
  <si>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</si>
  <si>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</si>
  <si>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</si>
  <si>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</si>
  <si>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</si>
  <si>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</si>
  <si>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</si>
  <si>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</si>
  <si>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</si>
  <si>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</si>
  <si>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</si>
  <si>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</si>
  <si>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</si>
  <si>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</si>
  <si>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</si>
  <si>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</si>
  <si>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</si>
  <si>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</si>
  <si>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</si>
  <si>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</si>
  <si>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</si>
  <si>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</si>
  <si>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</si>
  <si>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</si>
  <si>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</si>
  <si>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</si>
  <si>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</si>
  <si>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</si>
  <si>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</si>
  <si>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</si>
  <si>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</si>
  <si>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</si>
  <si>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</si>
  <si>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</si>
  <si>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</si>
  <si>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</si>
  <si>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</si>
  <si>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</si>
  <si>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</si>
  <si>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</si>
  <si>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</si>
  <si>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</si>
  <si>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</si>
  <si>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</si>
  <si>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</si>
  <si>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</si>
  <si>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</si>
  <si>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</si>
  <si>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</si>
  <si>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</si>
  <si>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</si>
  <si>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</si>
  <si>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</si>
  <si>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</si>
  <si>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</si>
  <si>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</si>
  <si>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</si>
  <si>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</si>
  <si>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</si>
  <si>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</si>
  <si>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</si>
  <si>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</si>
  <si>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</si>
  <si>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</si>
  <si>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</si>
  <si>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</si>
  <si>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</si>
  <si>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</si>
  <si>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</si>
  <si>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</si>
  <si>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</si>
  <si>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</si>
  <si>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</si>
  <si>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</si>
  <si>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</si>
  <si>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</si>
  <si>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</si>
  <si>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</si>
  <si>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</si>
  <si>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</si>
  <si>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</si>
  <si>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</si>
  <si>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</si>
  <si>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</si>
  <si>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</si>
  <si>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</si>
  <si>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</si>
  <si>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</si>
  <si>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</si>
  <si>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</si>
  <si>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</si>
  <si>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</si>
  <si>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</si>
  <si>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</si>
  <si>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</si>
  <si>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</si>
  <si>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</si>
  <si>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</si>
  <si>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</si>
  <si>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</si>
  <si>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</si>
  <si>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</si>
  <si>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</si>
  <si>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</si>
  <si>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</si>
  <si>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</si>
  <si>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</si>
  <si>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</si>
  <si>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</si>
  <si>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</si>
  <si>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</si>
  <si>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</si>
  <si>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</si>
  <si>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</si>
  <si>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</si>
  <si>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</si>
  <si>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</si>
  <si>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</si>
  <si>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</si>
  <si>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</si>
  <si>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</si>
  <si>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</si>
  <si>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</si>
  <si>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</si>
  <si>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</si>
  <si>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</si>
  <si>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</si>
  <si>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</si>
  <si>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</si>
  <si>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</si>
  <si>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</si>
  <si>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</si>
  <si>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</si>
  <si>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</si>
  <si>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</si>
  <si>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</si>
  <si>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</si>
  <si>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</si>
  <si>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</si>
  <si>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</si>
  <si>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</si>
  <si>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</si>
  <si>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</si>
  <si>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</si>
  <si>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</si>
  <si>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</si>
  <si>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</si>
  <si>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</si>
  <si>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</si>
  <si>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</si>
  <si>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</si>
  <si>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</si>
  <si>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</si>
  <si>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</si>
  <si>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</si>
  <si>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</si>
  <si>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</si>
  <si>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</si>
  <si>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</si>
  <si>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</si>
  <si>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</si>
  <si>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</si>
  <si>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</si>
  <si>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</si>
  <si>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</si>
  <si>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</si>
  <si>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</si>
  <si>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</si>
  <si>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</si>
  <si>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</si>
  <si>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</si>
  <si>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</si>
  <si>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</si>
  <si>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</si>
  <si>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</si>
  <si>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</si>
  <si>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</si>
  <si>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</si>
  <si>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</si>
  <si>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</si>
  <si>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</si>
  <si>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</si>
  <si>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</si>
  <si>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</si>
  <si>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</si>
  <si>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</si>
  <si>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</si>
  <si>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</si>
  <si>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</si>
  <si>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</si>
  <si>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</si>
  <si>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</si>
  <si>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</si>
  <si>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</si>
  <si>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</si>
  <si>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</si>
  <si>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</si>
  <si>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</si>
  <si>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</si>
  <si>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</si>
  <si>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</si>
  <si>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</si>
  <si>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</si>
  <si>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</si>
  <si>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</si>
  <si>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</si>
  <si>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</si>
  <si>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</si>
  <si>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</si>
  <si>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</si>
  <si>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</si>
  <si>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</si>
  <si>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</si>
  <si>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</si>
  <si>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</si>
  <si>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</si>
  <si>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</si>
  <si>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</si>
  <si>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</si>
  <si>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</si>
  <si>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</si>
  <si>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</si>
  <si>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</si>
  <si>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</si>
  <si>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</si>
  <si>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</si>
  <si>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</si>
  <si>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</si>
  <si>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</si>
  <si>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</si>
  <si>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</si>
  <si>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</si>
  <si>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</si>
  <si>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</si>
  <si>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</si>
  <si>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</si>
  <si>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</si>
  <si>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</si>
  <si>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</si>
  <si>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</si>
  <si>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</si>
  <si>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</si>
  <si>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</si>
  <si>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</si>
  <si>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</si>
  <si>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</si>
  <si>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</si>
  <si>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</si>
  <si>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</si>
  <si>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</si>
  <si>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</si>
  <si>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</si>
  <si>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</si>
  <si>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</si>
  <si>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</si>
  <si>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</si>
  <si>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</si>
  <si>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</si>
  <si>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</si>
  <si>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</si>
  <si>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</si>
  <si>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</si>
  <si>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</si>
  <si>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</si>
  <si>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</si>
  <si>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</si>
  <si>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</si>
  <si>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</si>
  <si>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</si>
  <si>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</si>
  <si>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</si>
  <si>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</si>
  <si>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</si>
  <si>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</si>
  <si>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</si>
  <si>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</si>
  <si>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</si>
  <si>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</si>
  <si>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</si>
  <si>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</si>
  <si>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</si>
  <si>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</si>
  <si>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</si>
  <si>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</si>
  <si>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</si>
  <si>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</si>
  <si>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</si>
  <si>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</si>
  <si>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</si>
  <si>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</si>
  <si>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</si>
  <si>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</si>
  <si>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</si>
  <si>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</si>
  <si>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</si>
  <si>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</si>
  <si>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</si>
  <si>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</si>
  <si>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</si>
  <si>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</si>
  <si>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</si>
  <si>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</si>
  <si>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</si>
  <si>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</si>
  <si>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</si>
  <si>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</si>
  <si>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</si>
  <si>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</si>
  <si>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</si>
  <si>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</si>
  <si>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</si>
  <si>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</si>
  <si>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</si>
  <si>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</si>
  <si>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</si>
  <si>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</si>
  <si>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</si>
  <si>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</si>
  <si>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</si>
  <si>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</si>
  <si>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</si>
  <si>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</si>
  <si>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</si>
  <si>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</si>
  <si>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</si>
  <si>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</si>
  <si>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</si>
  <si>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</si>
  <si>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</si>
  <si>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</si>
  <si>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</si>
  <si>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</si>
  <si>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</si>
  <si>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</si>
  <si>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</si>
  <si>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</si>
  <si>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</si>
  <si>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</si>
  <si>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</si>
  <si>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</si>
  <si>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</si>
  <si>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</si>
  <si>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</si>
  <si>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</si>
  <si>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</si>
  <si>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</si>
  <si>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</si>
  <si>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</si>
  <si>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</si>
  <si>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</si>
  <si>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</si>
  <si>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</si>
  <si>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</si>
  <si>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</si>
  <si>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</si>
  <si>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</si>
  <si>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</si>
  <si>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</si>
  <si>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</si>
  <si>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</si>
  <si>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</si>
  <si>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</si>
  <si>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</si>
  <si>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</si>
  <si>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</si>
  <si>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</si>
  <si>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</si>
  <si>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</si>
  <si>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</si>
  <si>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</si>
  <si>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</si>
  <si>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</si>
  <si>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</si>
  <si>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</si>
  <si>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</si>
  <si>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</si>
  <si>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</si>
  <si>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</si>
  <si>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</si>
  <si>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</si>
  <si>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</si>
  <si>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</si>
  <si>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</si>
  <si>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</si>
  <si>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</si>
  <si>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</si>
  <si>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</si>
  <si>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</si>
  <si>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</si>
  <si>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</si>
  <si>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</si>
  <si>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</si>
  <si>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</si>
  <si>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</si>
  <si>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</si>
  <si>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</si>
  <si>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</si>
  <si>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</si>
  <si>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</si>
  <si>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</si>
  <si>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</si>
  <si>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</si>
  <si>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</si>
  <si>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</si>
  <si>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</si>
  <si>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</si>
  <si>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</si>
  <si>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</si>
  <si>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</si>
  <si>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</si>
  <si>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</si>
  <si>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</si>
  <si>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</si>
  <si>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</si>
  <si>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</si>
  <si>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</si>
  <si>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</si>
  <si>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</si>
  <si>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</si>
  <si>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</si>
  <si>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</si>
  <si>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</si>
  <si>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</si>
  <si>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</si>
  <si>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</si>
  <si>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</si>
  <si>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</si>
  <si>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</si>
  <si>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</si>
  <si>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</si>
  <si>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</si>
  <si>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</si>
  <si>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</si>
  <si>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</si>
  <si>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</si>
  <si>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</si>
  <si>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</si>
  <si>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</si>
  <si>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</si>
  <si>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</si>
  <si>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</si>
  <si>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</si>
  <si>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</si>
  <si>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</si>
  <si>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</si>
  <si>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</si>
  <si>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</si>
  <si>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</si>
  <si>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</si>
  <si>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</si>
  <si>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</si>
  <si>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</si>
  <si>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</si>
  <si>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</si>
  <si>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</si>
  <si>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</si>
  <si>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</si>
  <si>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</si>
  <si>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</si>
  <si>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</si>
  <si>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</si>
  <si>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</si>
  <si>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</si>
  <si>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</si>
  <si>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</si>
  <si>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</si>
  <si>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</si>
  <si>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</si>
  <si>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</si>
  <si>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</si>
  <si>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</si>
  <si>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</si>
  <si>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</si>
  <si>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</si>
  <si>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</si>
  <si>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</si>
  <si>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</si>
  <si>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</si>
  <si>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</si>
  <si>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</si>
  <si>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</si>
  <si>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</si>
  <si>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</si>
  <si>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</si>
  <si>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</si>
  <si>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</si>
  <si>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</si>
  <si>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</si>
  <si>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</si>
  <si>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</si>
  <si>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</si>
  <si>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</si>
  <si>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</si>
  <si>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</si>
  <si>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</si>
  <si>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</si>
  <si>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</si>
  <si>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</si>
  <si>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</si>
  <si>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</si>
  <si>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</si>
  <si>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</si>
  <si>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</si>
  <si>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</si>
  <si>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</si>
  <si>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</si>
  <si>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</si>
  <si>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</si>
  <si>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</si>
  <si>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</si>
  <si>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</si>
  <si>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</si>
  <si>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</si>
  <si>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</si>
  <si>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</si>
  <si>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</si>
  <si>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</si>
  <si>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</si>
  <si>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</si>
  <si>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</si>
  <si>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</si>
  <si>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</si>
  <si>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</si>
  <si>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</si>
  <si>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</si>
  <si>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</si>
  <si>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</si>
  <si>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</si>
  <si>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</si>
  <si>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</si>
  <si>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</si>
  <si>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</si>
  <si>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</si>
  <si>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</si>
  <si>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</si>
  <si>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</si>
  <si>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</si>
  <si>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</si>
  <si>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</si>
  <si>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</si>
  <si>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</si>
  <si>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</si>
  <si>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</si>
  <si>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</si>
  <si>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</si>
  <si>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</si>
  <si>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</si>
  <si>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</si>
  <si>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</si>
  <si>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</si>
  <si>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</si>
  <si>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</si>
  <si>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</si>
  <si>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</si>
  <si>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</si>
  <si>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</si>
  <si>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</si>
  <si>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</si>
  <si>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</si>
  <si>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</si>
  <si>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</si>
  <si>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</si>
  <si>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</si>
  <si>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</si>
  <si>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</si>
  <si>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</si>
  <si>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</si>
  <si>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</si>
  <si>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</si>
  <si>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</si>
  <si>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</si>
  <si>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</si>
  <si>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</si>
  <si>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</si>
  <si>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</si>
  <si>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</si>
  <si>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</si>
  <si>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</si>
  <si>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</si>
  <si>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</si>
  <si>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</si>
  <si>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</si>
  <si>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</si>
  <si>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</si>
  <si>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</si>
  <si>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</si>
  <si>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</si>
  <si>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</si>
  <si>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</si>
  <si>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</si>
  <si>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</si>
  <si>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</si>
  <si>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</si>
  <si>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</si>
  <si>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</si>
  <si>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</si>
  <si>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</si>
  <si>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</si>
  <si>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</si>
  <si>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</si>
  <si>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</si>
  <si>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</si>
  <si>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</si>
  <si>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</si>
  <si>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</si>
  <si>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</si>
  <si>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</si>
  <si>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</si>
  <si>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</si>
  <si>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</si>
  <si>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</si>
  <si>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</si>
  <si>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</si>
  <si>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</si>
  <si>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</si>
  <si>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</si>
  <si>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</si>
  <si>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</si>
  <si>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</si>
  <si>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</si>
  <si>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</si>
  <si>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</si>
  <si>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</si>
  <si>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</si>
  <si>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</si>
  <si>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</si>
  <si>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</si>
  <si>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</si>
  <si>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</si>
  <si>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</si>
  <si>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</si>
  <si>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</si>
  <si>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</si>
  <si>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</si>
  <si>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</si>
  <si>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</si>
  <si>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</si>
  <si>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</si>
  <si>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</si>
  <si>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</si>
  <si>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</si>
  <si>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</si>
  <si>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</si>
  <si>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</si>
  <si>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</si>
  <si>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</si>
  <si>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</si>
  <si>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</si>
  <si>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</si>
  <si>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</si>
  <si>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</si>
  <si>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</si>
  <si>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</si>
  <si>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</si>
  <si>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</si>
  <si>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</si>
  <si>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</si>
  <si>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</si>
  <si>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</si>
  <si>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</si>
  <si>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</si>
  <si>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</si>
  <si>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</si>
  <si>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</si>
  <si>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</si>
  <si>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</si>
  <si>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</si>
  <si>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</si>
  <si>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</si>
  <si>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</si>
  <si>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</si>
  <si>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</si>
  <si>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</si>
  <si>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</si>
  <si>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</si>
  <si>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</si>
  <si>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</si>
  <si>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</si>
  <si>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</si>
  <si>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</si>
  <si>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</si>
  <si>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</si>
  <si>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</si>
  <si>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</si>
  <si>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</si>
  <si>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</si>
  <si>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</si>
  <si>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</si>
  <si>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</si>
  <si>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</si>
  <si>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</si>
  <si>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</si>
  <si>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</si>
  <si>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</si>
  <si>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</si>
  <si>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</si>
  <si>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</si>
  <si>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</si>
  <si>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</si>
  <si>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</si>
  <si>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</si>
  <si>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</si>
  <si>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</si>
  <si>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</si>
  <si>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</si>
  <si>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</si>
  <si>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</si>
  <si>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</si>
  <si>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</si>
  <si>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</si>
  <si>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</si>
  <si>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</si>
  <si>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</si>
  <si>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</si>
  <si>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</si>
  <si>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</si>
  <si>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</si>
  <si>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</si>
  <si>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</si>
  <si>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</si>
  <si>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</si>
  <si>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</si>
  <si>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</si>
  <si>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</si>
  <si>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</si>
  <si>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</si>
  <si>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</si>
  <si>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</si>
  <si>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</si>
  <si>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</si>
  <si>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</si>
  <si>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</si>
  <si>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</si>
  <si>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</si>
  <si>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</si>
  <si>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</si>
  <si>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</si>
  <si>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</si>
  <si>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</si>
  <si>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</si>
  <si>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</si>
  <si>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</si>
  <si>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</si>
  <si>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</si>
  <si>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</si>
  <si>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</si>
  <si>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</si>
  <si>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</si>
  <si>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</si>
  <si>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</si>
  <si>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</si>
  <si>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</si>
  <si>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</si>
  <si>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</si>
  <si>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</si>
  <si>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</si>
  <si>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</si>
  <si>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</si>
  <si>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</si>
  <si>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</si>
  <si>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</si>
  <si>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</si>
  <si>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</si>
  <si>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</si>
  <si>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</si>
  <si>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</si>
  <si>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</si>
  <si>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</si>
  <si>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</si>
  <si>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</si>
  <si>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</si>
  <si>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</si>
  <si>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</si>
  <si>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</si>
  <si>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</si>
  <si>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</si>
  <si>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</si>
  <si>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</si>
  <si>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</si>
  <si>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</si>
  <si>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</si>
  <si>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</si>
  <si>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</si>
  <si>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</si>
  <si>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</si>
  <si>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</si>
  <si>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</si>
  <si>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</si>
  <si>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</si>
  <si>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</si>
  <si>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</si>
  <si>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</si>
  <si>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</si>
  <si>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</si>
  <si>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</si>
  <si>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</si>
  <si>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</si>
  <si>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</si>
  <si>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</si>
  <si>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</si>
  <si>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</si>
  <si>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</si>
  <si>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</si>
  <si>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</si>
  <si>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</si>
  <si>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</si>
  <si>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</si>
  <si>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</si>
  <si>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</si>
  <si>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</si>
  <si>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</si>
  <si>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</si>
  <si>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</si>
  <si>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</si>
  <si>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</si>
  <si>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</si>
  <si>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</si>
  <si>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</si>
  <si>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</si>
  <si>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</si>
  <si>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</si>
  <si>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</si>
  <si>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</si>
  <si>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</si>
  <si>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</si>
  <si>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</si>
  <si>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</si>
  <si>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</si>
  <si>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</si>
  <si>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</si>
  <si>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</si>
  <si>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</si>
  <si>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</si>
  <si>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</si>
  <si>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</si>
  <si>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</si>
  <si>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</si>
  <si>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</si>
  <si>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</si>
  <si>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</si>
  <si>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</si>
  <si>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</si>
  <si>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</si>
  <si>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</si>
  <si>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</si>
  <si>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</si>
  <si>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</si>
  <si>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</si>
  <si>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</si>
  <si>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</si>
  <si>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</si>
  <si>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</si>
  <si>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</si>
  <si>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</si>
  <si>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</si>
  <si>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</si>
  <si>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</si>
  <si>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</si>
  <si>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</si>
  <si>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</si>
  <si>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</si>
  <si>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</si>
  <si>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</si>
  <si>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</si>
  <si>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</si>
  <si>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</si>
  <si>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</si>
  <si>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</si>
  <si>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</si>
  <si>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</si>
  <si>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</si>
  <si>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</si>
  <si>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</si>
  <si>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</si>
  <si>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</si>
  <si>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</si>
  <si>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</si>
  <si>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</si>
  <si>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</si>
  <si>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</si>
  <si>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</si>
  <si>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</si>
  <si>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</si>
  <si>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</si>
  <si>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</si>
  <si>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</si>
  <si>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</si>
  <si>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</si>
  <si>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</si>
  <si>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</si>
  <si>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</si>
  <si>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</si>
  <si>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</si>
  <si>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</si>
  <si>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</si>
  <si>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</si>
  <si>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</si>
  <si>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</si>
  <si>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</si>
  <si>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</si>
  <si>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</si>
  <si>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</si>
  <si>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</si>
  <si>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</si>
  <si>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</si>
  <si>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</si>
  <si>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</si>
  <si>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</si>
  <si>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</si>
  <si>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</si>
  <si>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</si>
  <si>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</si>
  <si>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</si>
  <si>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</si>
  <si>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</si>
  <si>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</si>
  <si>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</si>
  <si>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</si>
  <si>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</si>
  <si>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</si>
  <si>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</si>
  <si>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</si>
  <si>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</si>
  <si>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</si>
  <si>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</si>
  <si>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</si>
  <si>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</si>
  <si>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</si>
  <si>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</si>
  <si>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</si>
  <si>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</si>
  <si>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</si>
  <si>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</si>
  <si>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</si>
  <si>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</si>
  <si>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</si>
  <si>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</si>
  <si>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</si>
  <si>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</si>
  <si>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</si>
  <si>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</si>
  <si>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</si>
  <si>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</si>
  <si>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</si>
  <si>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</si>
  <si>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</si>
  <si>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</si>
  <si>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</si>
  <si>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</si>
  <si>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</si>
  <si>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</si>
  <si>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</si>
  <si>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</si>
  <si>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</si>
  <si>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</si>
  <si>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</si>
  <si>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</si>
  <si>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</si>
  <si>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</si>
  <si>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</si>
  <si>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</si>
  <si>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</si>
  <si>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</si>
  <si>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</si>
  <si>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</si>
  <si>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</si>
  <si>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</si>
  <si>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</si>
  <si>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</si>
  <si>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</si>
  <si>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</si>
  <si>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</si>
  <si>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</si>
  <si>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</si>
  <si>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</si>
  <si>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</si>
  <si>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</si>
  <si>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</si>
  <si>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</si>
  <si>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</si>
  <si>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</si>
  <si>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</si>
  <si>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</si>
  <si>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</si>
  <si>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</si>
  <si>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</si>
  <si>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</si>
  <si>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</si>
  <si>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</si>
  <si>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</si>
  <si>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</si>
  <si>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</si>
  <si>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</si>
  <si>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</si>
  <si>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</si>
  <si>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</si>
  <si>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</si>
  <si>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</si>
  <si>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</si>
  <si>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</si>
  <si>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</si>
  <si>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</si>
  <si>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</si>
  <si>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</si>
  <si>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</si>
  <si>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</si>
  <si>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</si>
  <si>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</si>
  <si>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</si>
  <si>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</si>
  <si>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</si>
  <si>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</si>
  <si>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</si>
  <si>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</si>
  <si>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</si>
  <si>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</si>
  <si>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</si>
  <si>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</si>
  <si>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</si>
  <si>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</si>
  <si>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</si>
  <si>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</si>
  <si>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</si>
  <si>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</si>
  <si>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</si>
  <si>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</si>
  <si>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</si>
  <si>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</si>
  <si>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</si>
  <si>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</si>
  <si>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</si>
  <si>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</si>
  <si>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</si>
  <si>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</si>
  <si>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</si>
  <si>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</si>
  <si>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</si>
  <si>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</si>
  <si>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</si>
  <si>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</si>
  <si>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</si>
  <si>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</si>
  <si>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</si>
  <si>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</si>
  <si>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</si>
  <si>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</si>
  <si>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</si>
  <si>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</si>
  <si>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</si>
  <si>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</si>
  <si>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</si>
  <si>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</si>
  <si>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</si>
  <si>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</si>
  <si>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</si>
  <si>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</si>
  <si>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</si>
  <si>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</si>
  <si>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</si>
  <si>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</si>
  <si>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</si>
  <si>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</si>
  <si>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</si>
  <si>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</si>
  <si>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</si>
  <si>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</si>
  <si>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</si>
  <si>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</si>
  <si>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</si>
  <si>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</si>
  <si>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</si>
  <si>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</si>
  <si>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</si>
  <si>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</si>
  <si>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</si>
  <si>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</si>
  <si>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</si>
  <si>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</si>
  <si>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</si>
  <si>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</si>
  <si>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</si>
  <si>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</si>
  <si>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</si>
  <si>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</si>
  <si>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</si>
  <si>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</si>
  <si>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</si>
  <si>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</si>
  <si>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</si>
  <si>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</si>
  <si>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</si>
  <si>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</si>
  <si>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</si>
  <si>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</si>
  <si>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</si>
  <si>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</si>
  <si>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</si>
  <si>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</si>
  <si>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</si>
  <si>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</si>
  <si>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</si>
  <si>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</si>
  <si>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</si>
  <si>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</si>
  <si>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</si>
  <si>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</si>
  <si>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</si>
  <si>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</si>
  <si>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</si>
  <si>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</si>
  <si>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</si>
  <si>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</si>
  <si>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</si>
  <si>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</si>
  <si>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</si>
  <si>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</si>
  <si>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</si>
  <si>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</si>
  <si>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</si>
  <si>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</si>
  <si>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</si>
  <si>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</si>
  <si>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</si>
  <si>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</si>
  <si>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</si>
  <si>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</si>
  <si>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</si>
  <si>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</si>
  <si>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</si>
  <si>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</si>
  <si>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</si>
  <si>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</si>
  <si>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</si>
  <si>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</si>
  <si>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</si>
  <si>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</si>
  <si>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</si>
  <si>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</si>
  <si>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</si>
  <si>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</si>
  <si>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</si>
  <si>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</si>
  <si>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</si>
  <si>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</si>
  <si>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</si>
  <si>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</si>
  <si>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</si>
  <si>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</si>
  <si>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</si>
  <si>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</si>
  <si>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</si>
  <si>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</si>
  <si>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</si>
  <si>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</si>
  <si>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</si>
  <si>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</si>
  <si>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</si>
  <si>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</si>
  <si>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</si>
  <si>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</si>
  <si>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</si>
  <si>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</si>
  <si>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</si>
  <si>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</si>
  <si>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</si>
  <si>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</si>
  <si>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</si>
  <si>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</si>
  <si>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</si>
  <si>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</si>
  <si>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</si>
  <si>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</si>
  <si>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</si>
  <si>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</si>
  <si>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</si>
  <si>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</si>
  <si>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</si>
  <si>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</si>
  <si>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</si>
  <si>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</si>
  <si>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</si>
  <si>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</si>
  <si>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</si>
  <si>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</si>
  <si>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</si>
  <si>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</si>
  <si>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</si>
  <si>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</si>
  <si>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</si>
  <si>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</si>
  <si>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</si>
  <si>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</si>
  <si>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</si>
  <si>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</si>
  <si>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</si>
  <si>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</si>
  <si>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</si>
  <si>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</si>
  <si>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</si>
  <si>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</si>
  <si>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</si>
  <si>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</si>
  <si>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</si>
  <si>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</si>
  <si>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</si>
  <si>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</si>
  <si>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</si>
  <si>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</si>
  <si>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</si>
  <si>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</si>
  <si>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</si>
  <si>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</si>
  <si>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</si>
  <si>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</si>
  <si>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</si>
  <si>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</si>
  <si>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</si>
  <si>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</si>
  <si>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</si>
  <si>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</si>
  <si>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</si>
  <si>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</si>
  <si>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</si>
  <si>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</si>
  <si>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</si>
  <si>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</si>
  <si>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</si>
  <si>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</si>
  <si>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</si>
  <si>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</si>
  <si>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</si>
  <si>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</si>
  <si>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</si>
  <si>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</si>
  <si>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</si>
  <si>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</si>
  <si>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</si>
  <si>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</si>
  <si>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</si>
  <si>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</si>
  <si>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</si>
  <si>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</si>
  <si>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</si>
  <si>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</si>
  <si>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</si>
  <si>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</si>
  <si>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</si>
  <si>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</si>
  <si>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</si>
  <si>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</si>
  <si>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</si>
  <si>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</si>
  <si>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</si>
  <si>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</si>
  <si>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</si>
  <si>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</si>
  <si>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</si>
  <si>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</si>
  <si>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</si>
  <si>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</si>
  <si>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</si>
  <si>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</si>
  <si>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</si>
  <si>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</si>
  <si>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</si>
  <si>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</si>
  <si>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</si>
  <si>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</si>
  <si>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</si>
  <si>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</si>
  <si>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</si>
  <si>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</si>
  <si>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</si>
  <si>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</si>
  <si>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</si>
  <si>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</si>
  <si>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</si>
  <si>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</si>
  <si>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</si>
  <si>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</si>
  <si>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</si>
  <si>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</si>
  <si>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</si>
  <si>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</si>
  <si>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</si>
  <si>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</si>
  <si>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</si>
  <si>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</si>
  <si>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</si>
  <si>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</si>
  <si>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</si>
  <si>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</si>
  <si>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</si>
  <si>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</si>
  <si>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</si>
  <si>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</si>
  <si>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</si>
  <si>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</si>
  <si>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</si>
  <si>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</si>
  <si>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</si>
  <si>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</si>
  <si>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</si>
  <si>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</si>
  <si>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</si>
  <si>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</si>
  <si>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</si>
  <si>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</si>
  <si>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</si>
  <si>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</si>
  <si>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</si>
  <si>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</si>
  <si>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</si>
  <si>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</si>
  <si>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</si>
  <si>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</si>
  <si>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5QA.803.108</t>
  </si>
  <si>
    <t>5WF.803.210</t>
  </si>
  <si>
    <t>5QS.804.456</t>
  </si>
  <si>
    <t>ST1610</t>
  </si>
  <si>
    <t>5qa802035b_018_sps0034_R</t>
  </si>
  <si>
    <t>KJLTVR411610R01</t>
  </si>
  <si>
    <t>C</t>
  </si>
  <si>
    <t>66-59D364237</t>
  </si>
  <si>
    <t>5qa802035b_046_avps0003_R</t>
  </si>
  <si>
    <t>5Q0.804.070</t>
  </si>
  <si>
    <t>5QA.805.758</t>
  </si>
  <si>
    <t>5qa802035b_044_atps0001_R</t>
  </si>
  <si>
    <t>5qa803091_p0008_h0210005400_R</t>
  </si>
  <si>
    <t>5qa803091_p0008_h0210005500_R</t>
  </si>
  <si>
    <t>5qa803091_p0008_h0210006200_R</t>
  </si>
  <si>
    <t>5qa803091_p0008_h0210006600_R</t>
  </si>
  <si>
    <t>5qa803091_p0008_h0210006500_R</t>
  </si>
  <si>
    <t>5qa803091_p0008_h0210006900_R</t>
  </si>
  <si>
    <t>5qa802035b_046_avps0002_R</t>
  </si>
  <si>
    <t>HC450XD+Z100-M-B</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</si>
</sst>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58"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6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1610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10x GEO 1610R01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364237/186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373744</xdr:colOff>
      <xdr:row>42</xdr:row>
      <xdr:rowOff>0</xdr:rowOff>
    </xdr:from>
    <xdr:to>
      <xdr:col>8</xdr:col>
      <xdr:colOff>1130881</xdr:colOff>
      <xdr:row>49</xdr:row>
      <xdr:rowOff>190500</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rot="16200000">
          <a:off x="1522250" y="8725744"/>
          <a:ext cx="1746250" cy="2963762"/>
        </a:xfrm>
        <a:prstGeom prst="rect">
          <a:avLst/>
        </a:prstGeom>
      </xdr:spPr>
    </xdr:pic>
    <xdr:clientData/>
  </xdr:twoCellAnchor>
  <xdr:twoCellAnchor editAs="oneCell">
    <xdr:from>
      <xdr:col>8</xdr:col>
      <xdr:colOff>326118</xdr:colOff>
      <xdr:row>7</xdr:row>
      <xdr:rowOff>15875</xdr:rowOff>
    </xdr:from>
    <xdr:to>
      <xdr:col>33</xdr:col>
      <xdr:colOff>327162</xdr:colOff>
      <xdr:row>39</xdr:row>
      <xdr:rowOff>0</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3072493" y="1571625"/>
          <a:ext cx="13351919" cy="7096125"/>
        </a:xfrm>
        <a:prstGeom prst="rect">
          <a:avLst/>
        </a:prstGeom>
      </xdr:spPr>
    </xdr:pic>
    <xdr:clientData/>
  </xdr:twoCellAnchor>
  <xdr:twoCellAnchor editAs="oneCell">
    <xdr:from>
      <xdr:col>8</xdr:col>
      <xdr:colOff>326118</xdr:colOff>
      <xdr:row>7</xdr:row>
      <xdr:rowOff>15875</xdr:rowOff>
    </xdr:from>
    <xdr:to>
      <xdr:col>10</xdr:col>
      <xdr:colOff>1258258</xdr:colOff>
      <xdr:row>13</xdr:row>
      <xdr:rowOff>158750</xdr:rowOff>
    </xdr:to>
    <xdr:pic>
      <xdr:nvPicPr>
        <xdr:cNvPr id="15" name="Imagem 14"/>
        <xdr:cNvPicPr>
          <a:picLocks noChangeAspect="1"/>
        </xdr:cNvPicPr>
      </xdr:nvPicPr>
      <xdr:blipFill>
        <a:blip xmlns:r="http://schemas.openxmlformats.org/officeDocument/2006/relationships" r:embed="rId4"/>
        <a:stretch>
          <a:fillRect/>
        </a:stretch>
      </xdr:blipFill>
      <xdr:spPr>
        <a:xfrm>
          <a:off x="3072493" y="1571625"/>
          <a:ext cx="2535515" cy="1476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7"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1610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1933</v>
      </c>
      <c r="P57" s="515"/>
      <c r="Q57" s="515"/>
      <c r="R57" s="515"/>
      <c r="S57" s="516"/>
      <c r="T57" s="575"/>
      <c r="U57" s="565" t="s">
        <v>7</v>
      </c>
      <c r="V57" s="565"/>
      <c r="W57" s="47"/>
      <c r="X57" s="515" t="s">
        <v>1924</v>
      </c>
      <c r="Y57" s="516"/>
      <c r="Z57" s="505"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5" t="s">
        <v>23</v>
      </c>
      <c r="AA58" s="563"/>
      <c r="AB58" s="564"/>
      <c r="AD58" s="33"/>
      <c r="AE58" s="33"/>
      <c r="AF58" s="605" t="s">
        <v>1928</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6"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61"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D18" sqref="D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7"/>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8"/>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1610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ST1610</v>
      </c>
      <c r="P57" s="650"/>
      <c r="Q57" s="650"/>
      <c r="R57" s="650"/>
      <c r="S57" s="650"/>
      <c r="T57" s="575"/>
      <c r="U57" s="643" t="s">
        <v>7</v>
      </c>
      <c r="V57" s="643"/>
      <c r="W57" s="176"/>
      <c r="X57" s="644" t="str">
        <f>'Blatt 0'!X57:Y58</f>
        <v>GME</v>
      </c>
      <c r="Y57" s="644"/>
      <c r="Z57" s="506"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6"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6"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6"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7" zoomScale="85" zoomScaleNormal="85" zoomScaleSheetLayoutView="40" zoomScalePageLayoutView="10" workbookViewId="0">
      <selection activeCell="C19" sqref="C19:C28"/>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8" customWidth="1"/>
    <col min="7" max="7" width="7.85546875" style="279" customWidth="1"/>
    <col min="8" max="8" width="24.7109375" style="279" customWidth="1"/>
    <col min="9" max="9" width="7.42578125" style="279" customWidth="1"/>
    <col min="10" max="12" width="7.85546875" style="408" customWidth="1"/>
    <col min="13" max="15" width="18.42578125" style="408" customWidth="1"/>
    <col min="16" max="16" width="6.28515625" style="408" customWidth="1"/>
    <col min="17" max="17" width="17.5703125" style="408" customWidth="1"/>
    <col min="18" max="18" width="12.85546875" style="408" bestFit="1" customWidth="1"/>
    <col min="19" max="19" width="6.28515625" style="408" customWidth="1"/>
    <col min="20" max="20" width="17.5703125" style="408" customWidth="1"/>
    <col min="21" max="21" width="12.85546875" style="408" bestFit="1" customWidth="1"/>
    <col min="22" max="22" width="6.28515625" style="408" customWidth="1"/>
    <col min="23" max="23" width="17.5703125" style="408" customWidth="1"/>
    <col min="24" max="24" width="16.42578125" style="408" bestFit="1" customWidth="1"/>
    <col min="25" max="25" width="7.140625" style="408" customWidth="1"/>
    <col min="26" max="31" width="8.5703125" style="279" customWidth="1"/>
    <col min="32" max="33" width="8.5703125" style="409"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Karosseriebau</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Punktschweißen</v>
      </c>
      <c r="D4" s="774"/>
      <c r="E4" s="774"/>
      <c r="F4" s="774"/>
      <c r="G4" s="774"/>
      <c r="H4" s="774"/>
      <c r="I4" s="774"/>
      <c r="J4" s="774"/>
      <c r="K4" s="774"/>
      <c r="L4" s="775"/>
      <c r="M4" s="1048" t="str">
        <f>IF($E$6="DE","Zeichnungsstand:","Dwg release:")</f>
        <v>Zeichnungsstand:</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Elektrodenkappe</v>
      </c>
      <c r="AI4" s="957"/>
      <c r="AJ4" s="958"/>
      <c r="AK4" s="715" t="e">
        <f>X46</f>
        <v>#N/A</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1175</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1927</v>
      </c>
      <c r="U6" s="1060"/>
      <c r="V6" s="1060"/>
      <c r="W6" s="1060"/>
      <c r="X6" s="1060"/>
      <c r="Y6" s="1060"/>
      <c r="Z6" s="1060"/>
      <c r="AA6" s="1060"/>
      <c r="AB6" s="1060"/>
      <c r="AC6" s="1060"/>
      <c r="AD6" s="1060"/>
      <c r="AE6" s="1060"/>
      <c r="AF6" s="1060"/>
      <c r="AG6" s="1061"/>
      <c r="AH6" s="703" t="str">
        <f>IF($E$6="DE","Sonderelektrode (manuelle Auswahl)","Special Electrode Cap (manual selection)")</f>
        <v>Sonderelektrode (manuelle Auswahl)</v>
      </c>
      <c r="AI6" s="704"/>
      <c r="AJ6" s="705"/>
      <c r="AK6" s="728" t="str">
        <f>IF($E$6="DE","Sonderfräsmesser (manuelle Auswahl)","Special Tip-Dresser (manual selection)")</f>
        <v>Sonderfräsmesser (manuelle Auswahl)</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7"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Doppelzange (J/N)</v>
      </c>
      <c r="G8" s="438"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499"/>
      <c r="AM8" s="500"/>
      <c r="AN8" s="498"/>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59" t="s">
        <v>1722</v>
      </c>
      <c r="BI8" s="458" t="b">
        <f t="array" ref="BI8">OR(EXACT("M",G19:G43),EXACT("m",G19:G43))</f>
        <v>0</v>
      </c>
      <c r="BJ8" s="458" t="b">
        <f>(COUNTIF(BT19:BT43,"J"))&gt;0</f>
        <v>0</v>
      </c>
      <c r="BL8" s="279" t="s">
        <v>1893</v>
      </c>
    </row>
    <row r="9" spans="1:79" ht="28.5" customHeight="1">
      <c r="A9" s="922"/>
      <c r="B9" s="281"/>
      <c r="C9" s="776" t="str">
        <f>IF($E$6="DE","Punkt- Nummer (Index)","Welding-Spot Number (Index)")</f>
        <v>Punkt- Nummer (Index)</v>
      </c>
      <c r="D9" s="779" t="str">
        <f>IF($E$6="DE","Punkt- Name                                                   (FE - Bezeichnung)","Welding-Spot Number                                              (FE - designition)")</f>
        <v>Punkt- Name                                                   (FE - Bezeichnung)</v>
      </c>
      <c r="E9" s="782" t="str">
        <f>IF($E$6="DE","Schweißkoffer","Welding case-No.")</f>
        <v>Schweißkoffer</v>
      </c>
      <c r="F9" s="782" t="str">
        <f>IF($E$6="DE","Schweißen durch Rob. IR .. /                                Werker WA ..","Welding with Rob. IR ... /                    Worker WR No …")</f>
        <v>Schweißen durch Rob. IR .. /                                Werker WA ..</v>
      </c>
      <c r="G9" s="782" t="str">
        <f>IF($E$6="DE","Schweißzangen-Typ","Weldgun - Type")</f>
        <v>Schweißzangen-Typ</v>
      </c>
      <c r="H9" s="785" t="str">
        <f>IF($E$6="DE","Schweißzangen-Nr.","Weldgun drawing No.")</f>
        <v>Schweißzangen-Nr.</v>
      </c>
      <c r="I9" s="788" t="str">
        <f>IF($E$6="DE","Trafo","Weld-Transformer")</f>
        <v>Trafo</v>
      </c>
      <c r="J9" s="791" t="str">
        <f>IF($E$6="DE","Netzlinien","Car Netline")</f>
        <v>Netzlinien</v>
      </c>
      <c r="K9" s="792"/>
      <c r="L9" s="793"/>
      <c r="M9" s="791" t="str">
        <f>IF($E$6="DE","Blechpaarung","Sheet metal stack")</f>
        <v>Blechpaarung</v>
      </c>
      <c r="N9" s="792"/>
      <c r="O9" s="794"/>
      <c r="P9" s="770" t="str">
        <f>IF($E$6="DE","Blechdicke / Werkstoff","Sheet Thickness / Material")</f>
        <v>Blechdicke / Werkstoff</v>
      </c>
      <c r="Q9" s="771"/>
      <c r="R9" s="771"/>
      <c r="S9" s="771"/>
      <c r="T9" s="771"/>
      <c r="U9" s="771"/>
      <c r="V9" s="771"/>
      <c r="W9" s="771"/>
      <c r="X9" s="772"/>
      <c r="Y9" s="449"/>
      <c r="Z9" s="1069" t="str">
        <f>IF($E$6="DE","Zwischenrechnung","theoretical Values")</f>
        <v>Zwischenrechnung</v>
      </c>
      <c r="AA9" s="1070"/>
      <c r="AB9" s="1071"/>
      <c r="AC9" s="681" t="str">
        <f>IF($E$6="DE","Schweißparameter","Welding Parameters")</f>
        <v>Schweißparameter</v>
      </c>
      <c r="AD9" s="681"/>
      <c r="AE9" s="682"/>
      <c r="AF9" s="1037" t="str">
        <f>IF($E$6="DE","Anforderung","Requirement")</f>
        <v>Anforderung</v>
      </c>
      <c r="AG9" s="1038"/>
      <c r="AH9" s="699" t="str">
        <f>IF($E$6="DE","benötigte Elektrodenkappen für Schweißpunkt","required Electrode Caps for Spot")</f>
        <v>benötigte Elektrodenkappen für Schweißpunkt</v>
      </c>
      <c r="AI9" s="700"/>
      <c r="AJ9" s="700"/>
      <c r="AK9" s="701"/>
      <c r="AL9" s="702"/>
      <c r="AM9" s="709" t="str">
        <f>IF($E$6="DE","Bemerkung","Comments")</f>
        <v>Bemerkung</v>
      </c>
      <c r="AN9" s="710"/>
      <c r="AO9" s="699" t="str">
        <f>IF($E$6="DE","Schweißpunkte gültig für folgende Typen:","Welding Spots valid for the following Types")</f>
        <v>Schweißpunkte gültig für folgende Typen:</v>
      </c>
      <c r="AP9" s="700"/>
      <c r="AQ9" s="700"/>
      <c r="AR9" s="700"/>
      <c r="AS9" s="700"/>
      <c r="AT9" s="700"/>
      <c r="AU9" s="700"/>
      <c r="AV9" s="700"/>
      <c r="AW9" s="700"/>
      <c r="AX9" s="700"/>
      <c r="AY9" s="700"/>
      <c r="AZ9" s="700"/>
      <c r="BA9" s="700"/>
      <c r="BB9" s="727"/>
      <c r="BC9" s="282"/>
      <c r="BD9" s="282"/>
      <c r="BE9" s="282"/>
      <c r="BF9" s="282"/>
      <c r="BH9" s="306" t="s">
        <v>1724</v>
      </c>
      <c r="BI9" s="306" t="b">
        <f>(COUNTIF(G19:G43,"x"))&gt;0</f>
        <v>0</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Zeichnungsnummer</v>
      </c>
      <c r="N10" s="805"/>
      <c r="O10" s="805"/>
      <c r="P10" s="746" t="s">
        <v>57</v>
      </c>
      <c r="Q10" s="965" t="str">
        <f>IF($E$6="DE","Werkstoff 1","Material 1")</f>
        <v>Werkstoff 1</v>
      </c>
      <c r="R10" s="939" t="str">
        <f>IF($E$6="DE","Streckgrenze Re 1","Yield strength Re 1")</f>
        <v>Streckgrenze Re 1</v>
      </c>
      <c r="S10" s="989" t="s">
        <v>58</v>
      </c>
      <c r="T10" s="965" t="str">
        <f>IF($E$6="DE","Werkstoff 2","Material 2")</f>
        <v>Werkstoff 2</v>
      </c>
      <c r="U10" s="939" t="str">
        <f>IF($E$6="DE","Streckgrenze Re 2","Yield strength Re 2")</f>
        <v>Streckgrenze Re 2</v>
      </c>
      <c r="V10" s="989" t="s">
        <v>59</v>
      </c>
      <c r="W10" s="965" t="str">
        <f>IF($E$6="DE","Werkstoff 3","Material 3")</f>
        <v>Werkstoff 3</v>
      </c>
      <c r="X10" s="939" t="str">
        <f>IF($E$6="DE","Streckgrenze Re 3","Yield strength Re 3")</f>
        <v>Streckgrenze Re 3</v>
      </c>
      <c r="Y10" s="987" t="str">
        <f>IF($E$6="DE","Klebstoff (J/N)","Adhesive (J=Yes /N=No)")</f>
        <v>Klebstoff (J/N)</v>
      </c>
      <c r="Z10" s="1072" t="str">
        <f>IF($E$6="DE","Vergleichsblechdicke tv","Ref. Thickness tv")</f>
        <v>Vergleichsblechdicke tv</v>
      </c>
      <c r="AA10" s="984" t="str">
        <f>IF($E$6="DE","Zuschlag Streckgrenze ","Yield strength surcharge")</f>
        <v xml:space="preserve">Zuschlag Streckgrenze </v>
      </c>
      <c r="AB10" s="686" t="str">
        <f>IF($E$6="DE","Schweißkraft inkl. Klebstoff (Zangenauslegung)","Welding Force incl. Adhesive (Gun Calculation)")</f>
        <v>Schweißkraft inkl. Klebstoff (Zangenauslegung)</v>
      </c>
      <c r="AC10" s="1066" t="str">
        <f>IF($E$6="DE","Schweißstrom","Welding Current")</f>
        <v>Schweißstrom</v>
      </c>
      <c r="AD10" s="692" t="str">
        <f>IF($E$6="DE","Schweißzeit","Welding Time")</f>
        <v>Schweißzeit</v>
      </c>
      <c r="AE10" s="686" t="str">
        <f>IF($E$6="DE","Schweißkraft incl. Klebstoff u.  bei VW50066/TL4225- Material außen","Welding Force incl. adhesive and VW50066/TL4225-Material outside")</f>
        <v>Schweißkraft incl. Klebstoff u.  bei VW50066/TL4225- Material außen</v>
      </c>
      <c r="AF10" s="683" t="str">
        <f>IF($E$6="DE","Linsendurchmesser dn min (Blech 1 - Blech 2)","Nuggetdiameter dn min (Sheet 1 - Sheet 2)")</f>
        <v>Linsendurchmesser dn min (Blech 1 - Blech 2)</v>
      </c>
      <c r="AG10" s="686" t="str">
        <f>IF($E$6="DE","Linsendurchmesser dn min (Blech 2 - Blech 3)","Nuggetdiameter dn min (Sheet 2 - Sheet 3)")</f>
        <v>Linsendurchmesser dn min (Blech 2 - Blech 3)</v>
      </c>
      <c r="AH10" s="683" t="str">
        <f>IF($E$6="DE","Elektroden-kappen","Electrode Cap")</f>
        <v>Elektroden-kappen</v>
      </c>
      <c r="AI10" s="692" t="str">
        <f>IF($E$6="DE"," Arbeitsflächendurchm. für Elektrode an Blech 1 (AF1)","Electrode Tip Diameter                       on Sheet 1 (AF1)")</f>
        <v xml:space="preserve"> Arbeitsflächendurchm. für Elektrode an Blech 1 (AF1)</v>
      </c>
      <c r="AJ10" s="692" t="str">
        <f>IF($E$6="DE","Arbeitsflächenradius für Elektrode an Blech 1 (R1)","Electrode Tip Radius                    on Sheet 1 (R1)")</f>
        <v>Arbeitsflächenradius für Elektrode an Blech 1 (R1)</v>
      </c>
      <c r="AK10" s="1057" t="str">
        <f>IF($E$6="DE","Arbeitsflächendurchm. für Elektrode an Blech 2/3 (AF2/3)","Electrode Tip Diameter                      on Sheet 2/3 (AF2/3)")</f>
        <v>Arbeitsflächendurchm. für Elektrode an Blech 2/3 (AF2/3)</v>
      </c>
      <c r="AL10" s="1013" t="str">
        <f>IF($E$6="DE","Arbeitsflächenradius für Elektrode an Blech 2/3 (R2/3)","Electrode Tip Radius                   on Sheet 2 (R2/3)")</f>
        <v>Arbeitsflächenradius für Elektrode an Blech 2/3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29" t="s">
        <v>40</v>
      </c>
      <c r="J18" s="430"/>
      <c r="K18" s="431"/>
      <c r="L18" s="432"/>
      <c r="M18" s="433"/>
      <c r="N18" s="434"/>
      <c r="O18" s="435"/>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0"/>
      <c r="Z18" s="446" t="s">
        <v>1137</v>
      </c>
      <c r="AA18" s="447" t="s">
        <v>1717</v>
      </c>
      <c r="AB18" s="448" t="s">
        <v>1714</v>
      </c>
      <c r="AC18" s="451" t="s">
        <v>1270</v>
      </c>
      <c r="AD18" s="303" t="s">
        <v>1271</v>
      </c>
      <c r="AE18" s="304" t="s">
        <v>1715</v>
      </c>
      <c r="AF18" s="454" t="s">
        <v>41</v>
      </c>
      <c r="AG18" s="455" t="s">
        <v>41</v>
      </c>
      <c r="AH18" s="440"/>
      <c r="AI18" s="456" t="s">
        <v>41</v>
      </c>
      <c r="AJ18" s="456" t="s">
        <v>41</v>
      </c>
      <c r="AK18" s="456" t="s">
        <v>41</v>
      </c>
      <c r="AL18" s="457"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39"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509">
        <v>7.1163999999999996</v>
      </c>
      <c r="D19" s="307" t="s">
        <v>1934</v>
      </c>
      <c r="E19" s="308" t="s">
        <v>1188</v>
      </c>
      <c r="F19" s="309" t="s">
        <v>1935</v>
      </c>
      <c r="G19" s="335" t="s">
        <v>1936</v>
      </c>
      <c r="H19" s="310" t="s">
        <v>1937</v>
      </c>
      <c r="I19" s="477" t="s">
        <v>1188</v>
      </c>
      <c r="J19" s="311">
        <v>21.35</v>
      </c>
      <c r="K19" s="312">
        <v>475.67</v>
      </c>
      <c r="L19" s="313">
        <v>256.97000000000003</v>
      </c>
      <c r="M19" s="314" t="s">
        <v>1929</v>
      </c>
      <c r="N19" s="315" t="s">
        <v>1930</v>
      </c>
      <c r="O19" s="316" t="s">
        <v>1188</v>
      </c>
      <c r="P19" s="501">
        <v>2.1</v>
      </c>
      <c r="Q19" s="319" t="s">
        <v>1129</v>
      </c>
      <c r="R19" s="317">
        <f>IF(AND(ISBLANK(P19),ISTEXT(Q19)),"t1?",IF(AND(ISBLANK(Q19),ISBLANK(P19)),"",VLOOKUP(BH19,Materialliste!$A$2:$B$1615,2,FALSE)))</f>
        <v>1250</v>
      </c>
      <c r="S19" s="318">
        <v>1.7</v>
      </c>
      <c r="T19" s="319" t="s">
        <v>1004</v>
      </c>
      <c r="U19" s="317">
        <f>IF(AND(ISBLANK(S19),ISTEXT(T19)),"t2?",IF(AND(ISBLANK(T19),ISBLANK(S19)),"",VLOOKUP(BI19,Materialliste!$A$2:$B$1615,2,FALSE)))</f>
        <v>550</v>
      </c>
      <c r="V19" s="318"/>
      <c r="W19" s="319"/>
      <c r="X19" s="320" t="str">
        <f>IF(AND(ISBLANK(V19),ISTEXT(W19)),"t3?",IF(AND(ISBLANK(W19),ISBLANK(V19)),"",VLOOKUP(BJ19,Materialliste!$A$2:$B$1615,2,FALSE)))</f>
        <v/>
      </c>
      <c r="Y19" s="441" t="s">
        <v>1925</v>
      </c>
      <c r="Z19" s="452">
        <f t="shared" ref="Z19:Z43" si="0">IF($E$6="DE",IF(P19*S19&gt;0,0.8*BN19+0.2*BM19,"BLECH?"),IF(P19*S19&gt;0,0.8*BN19+0.2*BM19,"Sheet?"))</f>
        <v>1.7800000000000002</v>
      </c>
      <c r="AA19" s="445">
        <f>IF(AND(ISNUMBER(R19),ISNUMBER(U19)),IF(ISTEXT(X19),(R19+U19)/(220*3*10)+0.9,(R19+U19+X19)/(220*3*10)+0.9),"?Re")</f>
        <v>1.1727272727272728</v>
      </c>
      <c r="AB19" s="453">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1">
        <f>IF(AND(BT19="J",OR(G19="C",G19="X")),39,IF(AND(BT19="N",OR(G19="C",G19="X")),IF(Z19="BLECH?","",IF(AND(BX19=TRUE,BZ19=TRUE),IF(Z19&lt;=2,((1.13*Z19+7.1+BY19)+(1.13*Z19+7.1+CA19))/2*BW19,((1.5*Z19+5.8+BY19)+(1.5*Z19+5.8+CA19))/2*BW19),IF(Z19&lt;=2,(1.13*Z19+7.1+BY19+CA19)*BW19,(1.5*Z19+5.8+BY19+CA19)*BW19))),IF(OR(G19="B",G19="S"),6,IF(G19="R",7,IF(AND(G19="M",BT19="N"),4.3,IF(AND(G19="M",BT19="J"),"21",""))))))</f>
        <v>7.1496900000000005</v>
      </c>
      <c r="AD19" s="322">
        <f t="shared" ref="AD19:AD25" si="1">IF(OR(ISBLANK(G19),Z19="BLECH?"),"",IF(AND(BT19="J",G19="C"),60,IF(G19="B",60,IF(G19="R",150,IF(G19="S",90,IF(AND(G19="m",BT19="n"),350,IF(AND(G19="m",BT19="j"),50,MAX(MIN((((P19+S19+V19-1.4)*(600/4.6))+200)+BU19,900),200))))))))</f>
        <v>813.04347826086951</v>
      </c>
      <c r="AE19" s="323">
        <f>IF(AND(BT19="J",OR(G19="C",G19="X")),AB19*1,IF(OR(G19="C",G19="X"),AB19*BV19,IF(ISBLANK(G19),AB19,AB19*1)))</f>
        <v>2.9128069090909094</v>
      </c>
      <c r="AF19" s="479">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0" t="str">
        <f>IF(V19&gt;0,(IF(G19="S",(IF($E$6="DE","siehe. Zeichn.", "as per drawing")),IF(OR(AND(G19="M",BT19="N"),G19="B"),1.6,IF(AND(G19="M",BT19="J"),2.5,IF(AND(G19="C",BT19="J",Y19="N",OR(S19&gt;=1.5,V19&gt;=1.5)),5*SQRT(MIN(S19,V19)),IF(AND(G19="C",BT19="J",Y19="N",S19&lt;1.5,V19&lt;1.5),4*SQRT(MIN(S19,V19)),IF(AND(G19="C",BT19="J",Y19="J",V19&gt;0),(IF($E$6="DE","siehe. Zeichn.", "as per drawing")),3.5*SQRT(MIN(S19,V19))))))))),"")</f>
        <v/>
      </c>
      <c r="AH19" s="460" t="str">
        <f t="shared" ref="AH19:AH43" si="2">IF(AND($AN$45="Ja",ISTEXT($AG$47),ISNUMBER($AL$47)),CL19,CH19)</f>
        <v>39D 1978-2</v>
      </c>
      <c r="AI19" s="324">
        <f>IF(ISBLANK(G19),"",IF(ISNUMBER($AK$8),$AK$8,IF(G19="R",0,IF(G19="S",4,IF(AND(G19="M",BT19="N"),5,IF(AND(G19="M",BT19="J"),6,IF(AND(G19="C",BT19="J"),"12 *)",IF(G19="B",8,IF(Z19&gt;=2,8,6)))))))))</f>
        <v>6</v>
      </c>
      <c r="AJ19" s="324">
        <f>IF(ISBLANK(G19),"",IF(ISNUMBER($AL$8),$AL$8,IF(G19="R",8,IF(G19="S",50,IF(AND(G19="M",BT19="N"),15,IF(AND(G19="M",BT19="J"),"15 *)",IF(AND(G19="C",BT19="J"),"25 *)",IF(G19="B",0,50))))))))</f>
        <v>50</v>
      </c>
      <c r="AK19" s="324">
        <f>IF(ISBLANK(G19),"",IF(ISNUMBER($AM$8),$AM$8,IF(G19="R",0,IF(G19="S","-",IF(AND(G19="M",BT19="N"),5,IF(AND(G19="M",BT19="J"),6,IF(AND(G19="C",BT19="J"),"16 *)",IF(G19="B",8,IF(Z19&gt;=2,8,6)))))))))</f>
        <v>6</v>
      </c>
      <c r="AL19" s="325">
        <f>IF(ISBLANK(G19),"",IF(ISNUMBER($AN$8),$AN$8,IF(G19="R",8,IF(G19="S","-",IF(AND(G19="M",BT19="N"),15,IF(AND(G19="M",BT19="J"),"50 *)",IF(AND(G19="C",BT19="J"),"150 *)",IF(G19="B",0,50))))))))</f>
        <v>50</v>
      </c>
      <c r="AM19" s="1004"/>
      <c r="AN19" s="1005"/>
      <c r="AO19" s="326"/>
      <c r="AP19" s="502"/>
      <c r="AQ19" s="327"/>
      <c r="AR19" s="327"/>
      <c r="AS19" s="327"/>
      <c r="AT19" s="327"/>
      <c r="AU19" s="327"/>
      <c r="AV19" s="327"/>
      <c r="AW19" s="327"/>
      <c r="AX19" s="327"/>
      <c r="AY19" s="327"/>
      <c r="AZ19" s="327"/>
      <c r="BA19" s="327"/>
      <c r="BB19" s="328"/>
      <c r="BC19" s="282"/>
      <c r="BE19" s="282"/>
      <c r="BF19" s="352" t="str">
        <f>IF(OR(AND(V19&gt;=2,X19&gt;=1250,S19&gt;=2,U19&gt;=1250,P19&lt;=0.7),AND(S19&gt;=2,U19&gt;=1250,P19&gt;=2,R19&gt;=1250,V19&lt;=0.7)), "Ja","Nein")</f>
        <v>Nein</v>
      </c>
      <c r="BH19" s="472" t="str">
        <f t="shared" ref="BH19:BH43" si="3">IF(OR((RIGHT(Q19,3)="U-O"),(RIGHT(Q19,3)="E-O"),(RIGHT(Q19,3)="U-P"),(RIGHT(Q19,3)="E-P")),LEFT(Q19,LEN(Q19)-4),(IF(OR((RIGHT(Q19,1)="U"),(RIGHT(Q19,1)="E"),(RIGHT(Q19,1)="O"),(RIGHT(Q19,1)="P")),LEFT(Q19,LEN(Q19)-2),Q19)))</f>
        <v>TL 4225-AS30/30</v>
      </c>
      <c r="BI19" s="472" t="str">
        <f t="shared" ref="BI19:BI43" si="4">IF(OR((RIGHT(T19,3)="U-O"),(RIGHT(T19,3)="E-O"),(RIGHT(T19,3)="U-P"),(RIGHT(T19,3)="E-P")),LEFT(T19,LEN(T19)-4),(IF(OR((RIGHT(T19,1)="U"),(RIGHT(T19,1)="E"),(RIGHT(T19,1)="O"),(RIGHT(T19,1)="P")),LEFT(T19,LEN(T19)-2),T19)))</f>
        <v>CR440Y780T-DP-GI40/40</v>
      </c>
      <c r="BJ19" s="472">
        <f t="shared" ref="BJ19:BJ43" si="5">IF(OR((RIGHT(W19,3)="U-O"),(RIGHT(W19,3)="E-O"),(RIGHT(W19,3)="U-P"),(RIGHT(W19,3)="E-P")),LEFT(W19,LEN(W19)-4),(IF(OR((RIGHT(W19,1)="U"),(RIGHT(W19,1)="E"),(RIGHT(W19,1)="O"),(RIGHT(W19,1)="P")),LEFT(W19,LEN(W19)-2),W19)))</f>
        <v>0</v>
      </c>
      <c r="BM19" s="473">
        <f t="shared" ref="BM19:BM43" si="6">MAX(P19,S19,V19)</f>
        <v>2.1</v>
      </c>
      <c r="BN19" s="474">
        <f>LARGE(BO19:BQ19,2)</f>
        <v>1.7</v>
      </c>
      <c r="BO19" s="473">
        <f t="shared" ref="BO19:BO43" si="7">P19</f>
        <v>2.1</v>
      </c>
      <c r="BP19" s="473">
        <f t="shared" ref="BP19:BP43" si="8">S19</f>
        <v>1.7</v>
      </c>
      <c r="BQ19" s="473">
        <f t="shared" ref="BQ19:BQ43" si="9">V19</f>
        <v>0</v>
      </c>
      <c r="BR19" s="329"/>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0"/>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1">
        <v>7.1164100000000001</v>
      </c>
      <c r="D20" s="332" t="s">
        <v>1938</v>
      </c>
      <c r="E20" s="333" t="s">
        <v>1188</v>
      </c>
      <c r="F20" s="334" t="s">
        <v>1935</v>
      </c>
      <c r="G20" s="335" t="s">
        <v>1936</v>
      </c>
      <c r="H20" s="336" t="s">
        <v>1937</v>
      </c>
      <c r="I20" s="478" t="s">
        <v>1188</v>
      </c>
      <c r="J20" s="337">
        <v>-348.4</v>
      </c>
      <c r="K20" s="338">
        <v>572.37</v>
      </c>
      <c r="L20" s="339">
        <v>338.13</v>
      </c>
      <c r="M20" s="340" t="s">
        <v>1939</v>
      </c>
      <c r="N20" s="341" t="s">
        <v>1930</v>
      </c>
      <c r="O20" s="342" t="s">
        <v>1940</v>
      </c>
      <c r="P20" s="318">
        <v>1.75</v>
      </c>
      <c r="Q20" s="319" t="s">
        <v>615</v>
      </c>
      <c r="R20" s="343">
        <f>IF(AND(ISBLANK(P20),ISTEXT(Q20)),"t1?",IF(AND(ISBLANK(Q20),ISBLANK(P20)),"",VLOOKUP(BH20,Materialliste!$A$2:$B$1615,2,FALSE)))</f>
        <v>350</v>
      </c>
      <c r="S20" s="318">
        <v>1.7</v>
      </c>
      <c r="T20" s="319" t="s">
        <v>1004</v>
      </c>
      <c r="U20" s="344">
        <f>IF(AND(ISBLANK(S20),ISTEXT(T20)),"t2?",IF(AND(ISBLANK(T20),ISBLANK(S20)),"",VLOOKUP(BI20,Materialliste!$A$2:$B$1615,2,FALSE)))</f>
        <v>550</v>
      </c>
      <c r="V20" s="318">
        <v>1</v>
      </c>
      <c r="W20" s="319" t="s">
        <v>1949</v>
      </c>
      <c r="X20" s="344" t="e">
        <f>IF(AND(ISBLANK(V20),ISTEXT(W20)),"t3?",IF(AND(ISBLANK(W20),ISBLANK(V20)),"",VLOOKUP(BJ20,Materialliste!$A$2:$B$1615,2,FALSE)))</f>
        <v>#N/A</v>
      </c>
      <c r="Y20" s="442" t="s">
        <v>1925</v>
      </c>
      <c r="Z20" s="345">
        <f t="shared" si="0"/>
        <v>1.7100000000000002</v>
      </c>
      <c r="AA20" s="346" t="e">
        <f t="shared" ref="AA20:AA43" si="11">IF(AND(ISNUMBER(R20),ISNUMBER(U20)),IF(ISTEXT(X20),(R20+U20)/(220*3*10)+0.9,(R20+U20+X20)/(220*3*10)+0.9),"?Re")</f>
        <v>#N/A</v>
      </c>
      <c r="AB20" s="453" t="e">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#N/A</v>
      </c>
      <c r="AC20" s="347" t="e">
        <f t="shared" ref="AC20:AC43" si="13">IF(AND(BT20="J",OR(G20="C",G20="X")),39,IF(OR(G20="C",G20="X"),IF(Z20="BLECH?","",IF(AND(BX20=TRUE,BZ20=TRUE),IF(Z20&lt;=2,((1.13*Z20+7.1+BY20)+(1.13*Z20+7.1+CA20))/2*BW20,((1.5*Z20+5.8+BY20)+(1.5*Z20+5.8+CA20))/2*BW20),IF(Z20&lt;=2,(1.13*Z20+7.1+BY20+CA20)*BW20,(1.5*Z20+5.8+BY20+CA20)*BW20))),IF(OR(G20="B",G20="S"),6,IF(G20="R",7,IF(AND(G20="M",BT20="N"),4.3,IF(AND(G20="M",BT20="J"),"21",""))))))</f>
        <v>#N/A</v>
      </c>
      <c r="AD20" s="322" t="e">
        <f t="shared" si="1"/>
        <v>#N/A</v>
      </c>
      <c r="AE20" s="348" t="e">
        <f t="shared" ref="AE20:AE43" si="14">IF(AND(BT20="J",OR(G20="C",G20="X")),AB20*1,IF(OR(G20="C",G20="X"),AB20*BV20,IF(ISBLANK(G20),AB20,AB20*1)))</f>
        <v>#N/A</v>
      </c>
      <c r="AF20" s="479">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1">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3.5</v>
      </c>
      <c r="AH20" s="460" t="e">
        <f t="shared" si="2"/>
        <v>#N/A</v>
      </c>
      <c r="AI20" s="349">
        <f t="shared" ref="AI20:AI43" si="17">IF(ISBLANK(G20),"",IF(ISNUMBER($AK$8),$AK$8,IF(G20="R",0,IF(G20="S",4,IF(AND(G20="M",BT20="N"),5,IF(AND(G20="M",BT20="J"),6,IF(AND(G20="C",BT20="J"),"12 *)",IF(G20="B",8,IF(Z20&gt;=2,8,6)))))))))</f>
        <v>6</v>
      </c>
      <c r="AJ20" s="349">
        <f t="shared" ref="AJ20:AJ43" si="18">IF(ISBLANK(G20),"",IF(ISNUMBER($AL$8),$AL$8,IF(G20="R",8,IF(G20="S",50,IF(AND(G20="M",BT20="N"),15,IF(AND(G20="M",BT20="J"),"15 *)",IF(AND(G20="C",BT20="J"),"25 *)",IF(G20="B",0,50))))))))</f>
        <v>50</v>
      </c>
      <c r="AK20" s="349">
        <f t="shared" ref="AK20:AK43" si="19">IF(ISBLANK(G20),"",IF(ISNUMBER($AM$8),$AM$8,IF(G20="R",0,IF(G20="S","-",IF(AND(G20="M",BT20="N"),5,IF(AND(G20="M",BT20="J"),6,IF(AND(G20="C",BT20="J"),"16 *)",IF(G20="B",8,IF(Z20&gt;=2,8,6)))))))))</f>
        <v>6</v>
      </c>
      <c r="AL20" s="350">
        <f t="shared" ref="AL20:AL43" si="20">IF(ISBLANK(G20),"",IF(ISNUMBER($AN$8),$AN$8,IF(G20="R",8,IF(G20="S","-",IF(AND(G20="M",BT20="N"),15,IF(AND(G20="M",BT20="J"),"50 *)",IF(AND(G20="C",BT20="J"),"150 *)",IF(G20="B",0,50))))))))</f>
        <v>50</v>
      </c>
      <c r="AM20" s="695"/>
      <c r="AN20" s="696"/>
      <c r="AO20" s="351"/>
      <c r="AP20" s="503"/>
      <c r="AQ20" s="352"/>
      <c r="AR20" s="352"/>
      <c r="AS20" s="352"/>
      <c r="AT20" s="352"/>
      <c r="AU20" s="352"/>
      <c r="AV20" s="352"/>
      <c r="AW20" s="352"/>
      <c r="AX20" s="352"/>
      <c r="AY20" s="352"/>
      <c r="AZ20" s="352"/>
      <c r="BA20" s="352"/>
      <c r="BB20" s="353"/>
      <c r="BC20" s="282"/>
      <c r="BE20" s="282"/>
      <c r="BF20" s="352" t="e">
        <f t="shared" ref="BF20:BF43" si="21">IF(OR(AND(V20&gt;=2,X20&gt;=1250,S20&gt;=2,U20&gt;=1250,P20&lt;=0.7),AND(S20&gt;=2,U20&gt;=1250,P20&gt;=2,R20&gt;=1250,V20&lt;=0.7)), "Ja","Nein")</f>
        <v>#N/A</v>
      </c>
      <c r="BH20" s="472" t="str">
        <f t="shared" si="3"/>
        <v>CR270LA-UC</v>
      </c>
      <c r="BI20" s="472" t="str">
        <f t="shared" si="4"/>
        <v>CR440Y780T-DP-GI40/40</v>
      </c>
      <c r="BJ20" s="472" t="str">
        <f t="shared" si="5"/>
        <v>HC450XD+Z100-M-B</v>
      </c>
      <c r="BM20" s="473">
        <f t="shared" si="6"/>
        <v>1.75</v>
      </c>
      <c r="BN20" s="474">
        <f t="shared" ref="BN20:BN43" si="22">LARGE(BO20:BQ20,2)</f>
        <v>1.7</v>
      </c>
      <c r="BO20" s="473">
        <f t="shared" si="7"/>
        <v>1.75</v>
      </c>
      <c r="BP20" s="473">
        <f t="shared" si="8"/>
        <v>1.7</v>
      </c>
      <c r="BQ20" s="473">
        <f t="shared" si="9"/>
        <v>1</v>
      </c>
      <c r="BR20" s="329"/>
      <c r="BS20" s="298" t="e">
        <f t="shared" ref="BS20:BS43" si="23">IF(ISBLANK(Q20)=TRUE,FALSE,(IF(V20="",OR(R20&gt;=1250,U20&gt;=1250),OR(R20&gt;=1250,X20&gt;=1250))))</f>
        <v>#N/A</v>
      </c>
      <c r="BT20" s="282" t="str">
        <f>_xlfn.IFNA(IF(MATCH(Q20,Materialliste!$A$1563:$A$1615,0)&gt;=1,"J"),"N")</f>
        <v>N</v>
      </c>
      <c r="BU20" s="298" t="e">
        <f t="shared" ref="BU20:BU43" si="24">IF(BS20=FALSE,0,300)</f>
        <v>#N/A</v>
      </c>
      <c r="BV20" s="298" t="e">
        <f t="shared" ref="BV20:BV43" si="25">IF(BS20=FALSE,1,0.7)</f>
        <v>#N/A</v>
      </c>
      <c r="BW20" s="298" t="e">
        <f t="shared" ref="BW20:BW43" si="26">IF(BS20=FALSE,1,0.85)</f>
        <v>#N/A</v>
      </c>
      <c r="BX20" s="298" t="b">
        <f t="shared" si="10"/>
        <v>1</v>
      </c>
      <c r="BY20" s="298">
        <f t="shared" ref="BY20:BY43" si="27">IF(BX20=TRUE,0.9,0)</f>
        <v>0.9</v>
      </c>
      <c r="BZ20" s="298" t="e">
        <f t="shared" ref="BZ20:BZ43" si="28">IF(ISBLANK(W20),OR(R20&gt;=1250,U20&gt;=1250),OR(R20&gt;=1250,U20&gt;=1250,X20&gt;=1250))</f>
        <v>#N/A</v>
      </c>
      <c r="CA20" s="298" t="e">
        <f t="shared" ref="CA20:CA43" si="29">IF(BZ20=TRUE,-0.7,0)</f>
        <v>#N/A</v>
      </c>
      <c r="CB20" s="330"/>
      <c r="CH20" s="306" t="e">
        <f t="shared" ref="CH20:CH43" si="30">IF(ISBLANK(G20),"",IF(ISBLANK($AH$8),IF(G20="R","39D 1978-2 !",IF(G20="S","39D 1978-2",IF(AND(G20="M",BT20="N"),"39D 1981 !",IF(AND(G20="M",BT20="J"),"58V 3210-Form R",IF(AND(G20="C",BT20="J"),"58V3210-FormS / 58V3210-FormE",IF(G20="B","59D 358 170 !",IF(AB20&gt;=5.5,"39D 1979-2 !","39D 1978-2"))))))),$AH$8))</f>
        <v>#N/A</v>
      </c>
      <c r="CL20" s="306" t="e">
        <f t="shared" ref="CL20:CL43" si="31">IF(ISBLANK(G20),"",IF(ISBLANK($AH$8),IF(G20="R","39D 1978-2 !",IF(G20="S","39D 1978-2",IF(AND(G20="M",BT20="N"),"39D 1981 !",IF(AND(G20="M",BT20="J"),"58V 3210-Form R",IF(AND(G20="C",BT20="J"),"58V3210-FormS / 58V3210-FormE",IF(G20="B","59D 358 170 !",IF(AE20&gt;=5.5,"39D 1979-2 !","39D 1978-2"))))))),$AH$8))</f>
        <v>#N/A</v>
      </c>
    </row>
    <row r="21" spans="1:90" ht="33" customHeight="1">
      <c r="A21" s="922"/>
      <c r="B21" s="281"/>
      <c r="C21" s="331">
        <v>7.1164199999999997</v>
      </c>
      <c r="D21" s="332" t="s">
        <v>1941</v>
      </c>
      <c r="E21" s="333" t="s">
        <v>1188</v>
      </c>
      <c r="F21" s="334" t="s">
        <v>1935</v>
      </c>
      <c r="G21" s="335" t="s">
        <v>1936</v>
      </c>
      <c r="H21" s="336" t="s">
        <v>1937</v>
      </c>
      <c r="I21" s="478" t="s">
        <v>1188</v>
      </c>
      <c r="J21" s="337">
        <v>-180.27</v>
      </c>
      <c r="K21" s="338">
        <v>513.34</v>
      </c>
      <c r="L21" s="339">
        <v>294.20999999999998</v>
      </c>
      <c r="M21" s="340" t="s">
        <v>1939</v>
      </c>
      <c r="N21" s="341" t="s">
        <v>1929</v>
      </c>
      <c r="O21" s="342" t="s">
        <v>1930</v>
      </c>
      <c r="P21" s="318">
        <v>1.75</v>
      </c>
      <c r="Q21" s="319" t="s">
        <v>615</v>
      </c>
      <c r="R21" s="354">
        <f>IF(AND(ISBLANK(P21),ISTEXT(Q21)),"t1?",IF(AND(ISBLANK(Q21),ISBLANK(P21)),"",VLOOKUP(BH21,Materialliste!$A$2:$B$1615,2,FALSE)))</f>
        <v>350</v>
      </c>
      <c r="S21" s="318">
        <v>2.1</v>
      </c>
      <c r="T21" s="319" t="s">
        <v>1001</v>
      </c>
      <c r="U21" s="354">
        <f>IF(AND(ISBLANK(S21),ISTEXT(T21)),"t2?",IF(AND(ISBLANK(T21),ISBLANK(S21)),"",VLOOKUP(BI21,Materialliste!$A$2:$B$1615,2,FALSE)))</f>
        <v>550</v>
      </c>
      <c r="V21" s="318">
        <v>1</v>
      </c>
      <c r="W21" s="319" t="s">
        <v>1004</v>
      </c>
      <c r="X21" s="354">
        <f>IF(AND(ISBLANK(V21),ISTEXT(W21)),"t3?",IF(AND(ISBLANK(W21),ISBLANK(V21)),"",VLOOKUP(BJ21,Materialliste!$A$2:$B$1615,2,FALSE)))</f>
        <v>550</v>
      </c>
      <c r="Y21" s="442" t="s">
        <v>1925</v>
      </c>
      <c r="Z21" s="345">
        <f t="shared" si="0"/>
        <v>1.8200000000000003</v>
      </c>
      <c r="AA21" s="346">
        <f t="shared" si="11"/>
        <v>1.1196969696969696</v>
      </c>
      <c r="AB21" s="453">
        <f t="shared" si="12"/>
        <v>4.0559351515151523</v>
      </c>
      <c r="AC21" s="347">
        <f t="shared" si="13"/>
        <v>10.0566</v>
      </c>
      <c r="AD21" s="322">
        <f t="shared" si="1"/>
        <v>650</v>
      </c>
      <c r="AE21" s="348">
        <f t="shared" si="14"/>
        <v>4.0559351515151523</v>
      </c>
      <c r="AF21" s="479">
        <f t="shared" si="15"/>
        <v>4.630064794363034</v>
      </c>
      <c r="AG21" s="481">
        <f t="shared" si="16"/>
        <v>3.5</v>
      </c>
      <c r="AH21" s="460" t="str">
        <f t="shared" si="2"/>
        <v>39D 1978-2</v>
      </c>
      <c r="AI21" s="349">
        <f t="shared" si="17"/>
        <v>6</v>
      </c>
      <c r="AJ21" s="349">
        <f t="shared" si="18"/>
        <v>50</v>
      </c>
      <c r="AK21" s="349">
        <f t="shared" si="19"/>
        <v>6</v>
      </c>
      <c r="AL21" s="350">
        <f t="shared" si="20"/>
        <v>50</v>
      </c>
      <c r="AM21" s="695"/>
      <c r="AN21" s="696"/>
      <c r="AO21" s="351"/>
      <c r="AP21" s="503"/>
      <c r="AQ21" s="352"/>
      <c r="AR21" s="352"/>
      <c r="AS21" s="352"/>
      <c r="AT21" s="352"/>
      <c r="AU21" s="352"/>
      <c r="AV21" s="352"/>
      <c r="AW21" s="352"/>
      <c r="AX21" s="352"/>
      <c r="AY21" s="352"/>
      <c r="AZ21" s="352"/>
      <c r="BA21" s="352"/>
      <c r="BB21" s="353"/>
      <c r="BC21" s="282"/>
      <c r="BE21" s="282"/>
      <c r="BF21" s="352" t="str">
        <f t="shared" si="21"/>
        <v>Nein</v>
      </c>
      <c r="BH21" s="472" t="str">
        <f t="shared" si="3"/>
        <v>CR270LA-UC</v>
      </c>
      <c r="BI21" s="472" t="str">
        <f t="shared" si="4"/>
        <v>CR440Y780T-DP-EG12/12</v>
      </c>
      <c r="BJ21" s="472" t="str">
        <f t="shared" si="5"/>
        <v>CR440Y780T-DP-GI40/40</v>
      </c>
      <c r="BM21" s="473">
        <f t="shared" si="6"/>
        <v>2.1</v>
      </c>
      <c r="BN21" s="474">
        <f t="shared" si="22"/>
        <v>1.75</v>
      </c>
      <c r="BO21" s="473">
        <f t="shared" si="7"/>
        <v>1.75</v>
      </c>
      <c r="BP21" s="473">
        <f t="shared" si="8"/>
        <v>2.1</v>
      </c>
      <c r="BQ21" s="473">
        <f t="shared" si="9"/>
        <v>1</v>
      </c>
      <c r="BR21" s="329"/>
      <c r="BS21" s="298" t="b">
        <f t="shared" si="23"/>
        <v>0</v>
      </c>
      <c r="BT21" s="282" t="str">
        <f>_xlfn.IFNA(IF(MATCH(Q21,Materialliste!$A$1563:$A$1615,0)&gt;=1,"J"),"N")</f>
        <v>N</v>
      </c>
      <c r="BU21" s="298">
        <f t="shared" si="24"/>
        <v>0</v>
      </c>
      <c r="BV21" s="298">
        <f t="shared" si="25"/>
        <v>1</v>
      </c>
      <c r="BW21" s="298">
        <f t="shared" si="26"/>
        <v>1</v>
      </c>
      <c r="BX21" s="298" t="b">
        <f t="shared" si="10"/>
        <v>1</v>
      </c>
      <c r="BY21" s="298">
        <f t="shared" si="27"/>
        <v>0.9</v>
      </c>
      <c r="BZ21" s="298" t="b">
        <f t="shared" si="28"/>
        <v>0</v>
      </c>
      <c r="CA21" s="298">
        <f t="shared" si="29"/>
        <v>0</v>
      </c>
      <c r="CB21" s="330"/>
      <c r="CH21" s="306" t="str">
        <f t="shared" si="30"/>
        <v>39D 1978-2</v>
      </c>
      <c r="CL21" s="306" t="str">
        <f t="shared" si="31"/>
        <v>39D 1978-2</v>
      </c>
    </row>
    <row r="22" spans="1:90" ht="33" customHeight="1">
      <c r="A22" s="922"/>
      <c r="B22" s="281"/>
      <c r="C22" s="331">
        <v>7.1164300000000003</v>
      </c>
      <c r="D22" s="332" t="s">
        <v>1942</v>
      </c>
      <c r="E22" s="333" t="s">
        <v>1188</v>
      </c>
      <c r="F22" s="334" t="s">
        <v>1935</v>
      </c>
      <c r="G22" s="335" t="s">
        <v>1936</v>
      </c>
      <c r="H22" s="336" t="s">
        <v>1937</v>
      </c>
      <c r="I22" s="478" t="s">
        <v>1188</v>
      </c>
      <c r="J22" s="337">
        <v>502.08</v>
      </c>
      <c r="K22" s="338">
        <v>419.17</v>
      </c>
      <c r="L22" s="339">
        <v>-74.52</v>
      </c>
      <c r="M22" s="340" t="s">
        <v>1931</v>
      </c>
      <c r="N22" s="341" t="s">
        <v>1932</v>
      </c>
      <c r="O22" s="342" t="s">
        <v>1188</v>
      </c>
      <c r="P22" s="318">
        <v>2</v>
      </c>
      <c r="Q22" s="319" t="s">
        <v>1129</v>
      </c>
      <c r="R22" s="354">
        <f>IF(AND(ISBLANK(P22),ISTEXT(Q22)),"t1?",IF(AND(ISBLANK(Q22),ISBLANK(P22)),"",VLOOKUP(BH22,Materialliste!$A$2:$B$1615,2,FALSE)))</f>
        <v>1250</v>
      </c>
      <c r="S22" s="318">
        <v>1.4</v>
      </c>
      <c r="T22" s="319" t="s">
        <v>1001</v>
      </c>
      <c r="U22" s="354">
        <f>IF(AND(ISBLANK(S22),ISTEXT(T22)),"t2?",IF(AND(ISBLANK(T22),ISBLANK(S22)),"",VLOOKUP(BI22,Materialliste!$A$2:$B$1615,2,FALSE)))</f>
        <v>550</v>
      </c>
      <c r="V22" s="318"/>
      <c r="W22" s="355"/>
      <c r="X22" s="354" t="str">
        <f>IF(AND(ISBLANK(V22),ISTEXT(W22)),"t3?",IF(AND(ISBLANK(W22),ISBLANK(V22)),"",VLOOKUP(BJ22,Materialliste!$A$2:$B$1615,2,FALSE)))</f>
        <v/>
      </c>
      <c r="Y22" s="442" t="s">
        <v>1925</v>
      </c>
      <c r="Z22" s="345">
        <f t="shared" si="0"/>
        <v>1.52</v>
      </c>
      <c r="AA22" s="346">
        <f t="shared" si="11"/>
        <v>1.1727272727272728</v>
      </c>
      <c r="AB22" s="453">
        <f t="shared" si="12"/>
        <v>3.6611018181818187</v>
      </c>
      <c r="AC22" s="347">
        <f t="shared" si="13"/>
        <v>6.8999599999999992</v>
      </c>
      <c r="AD22" s="322">
        <f t="shared" si="1"/>
        <v>760.86956521739125</v>
      </c>
      <c r="AE22" s="348">
        <f t="shared" si="14"/>
        <v>2.5627712727272729</v>
      </c>
      <c r="AF22" s="479">
        <f t="shared" si="15"/>
        <v>4.141255848169731</v>
      </c>
      <c r="AG22" s="481" t="str">
        <f t="shared" si="16"/>
        <v/>
      </c>
      <c r="AH22" s="460" t="str">
        <f t="shared" si="2"/>
        <v>39D 1978-2</v>
      </c>
      <c r="AI22" s="349">
        <f t="shared" si="17"/>
        <v>6</v>
      </c>
      <c r="AJ22" s="349">
        <f t="shared" si="18"/>
        <v>50</v>
      </c>
      <c r="AK22" s="349">
        <f t="shared" si="19"/>
        <v>6</v>
      </c>
      <c r="AL22" s="350">
        <f t="shared" si="20"/>
        <v>50</v>
      </c>
      <c r="AM22" s="695"/>
      <c r="AN22" s="696"/>
      <c r="AO22" s="351"/>
      <c r="AP22" s="503"/>
      <c r="AQ22" s="352"/>
      <c r="AR22" s="352"/>
      <c r="AS22" s="352"/>
      <c r="AT22" s="352"/>
      <c r="AU22" s="352"/>
      <c r="AV22" s="352"/>
      <c r="AW22" s="352"/>
      <c r="AX22" s="352"/>
      <c r="AY22" s="352"/>
      <c r="AZ22" s="352"/>
      <c r="BA22" s="352"/>
      <c r="BB22" s="353"/>
      <c r="BC22" s="282"/>
      <c r="BE22" s="282"/>
      <c r="BF22" s="352" t="str">
        <f t="shared" si="21"/>
        <v>Nein</v>
      </c>
      <c r="BH22" s="472" t="str">
        <f t="shared" si="3"/>
        <v>TL 4225-AS30/30</v>
      </c>
      <c r="BI22" s="472" t="str">
        <f t="shared" si="4"/>
        <v>CR440Y780T-DP-EG12/12</v>
      </c>
      <c r="BJ22" s="472">
        <f t="shared" si="5"/>
        <v>0</v>
      </c>
      <c r="BM22" s="473">
        <f t="shared" si="6"/>
        <v>2</v>
      </c>
      <c r="BN22" s="474">
        <f t="shared" si="22"/>
        <v>1.4</v>
      </c>
      <c r="BO22" s="473">
        <f t="shared" si="7"/>
        <v>2</v>
      </c>
      <c r="BP22" s="473">
        <f t="shared" si="8"/>
        <v>1.4</v>
      </c>
      <c r="BQ22" s="473">
        <f t="shared" si="9"/>
        <v>0</v>
      </c>
      <c r="BR22" s="329"/>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0"/>
      <c r="CH22" s="306" t="str">
        <f t="shared" si="30"/>
        <v>39D 1978-2</v>
      </c>
      <c r="CL22" s="306" t="str">
        <f t="shared" si="31"/>
        <v>39D 1978-2</v>
      </c>
    </row>
    <row r="23" spans="1:90" ht="33" customHeight="1">
      <c r="A23" s="922"/>
      <c r="B23" s="281"/>
      <c r="C23" s="331">
        <v>7.1164399999999999</v>
      </c>
      <c r="D23" s="332" t="s">
        <v>1943</v>
      </c>
      <c r="E23" s="333" t="s">
        <v>1188</v>
      </c>
      <c r="F23" s="334" t="s">
        <v>1935</v>
      </c>
      <c r="G23" s="335" t="s">
        <v>1936</v>
      </c>
      <c r="H23" s="336" t="s">
        <v>1937</v>
      </c>
      <c r="I23" s="478" t="s">
        <v>1188</v>
      </c>
      <c r="J23" s="337">
        <v>519.9</v>
      </c>
      <c r="K23" s="338">
        <v>441.93</v>
      </c>
      <c r="L23" s="339">
        <v>-74.209999999999994</v>
      </c>
      <c r="M23" s="341" t="s">
        <v>1931</v>
      </c>
      <c r="N23" s="341" t="s">
        <v>1932</v>
      </c>
      <c r="O23" s="341" t="s">
        <v>1188</v>
      </c>
      <c r="P23" s="318">
        <v>2</v>
      </c>
      <c r="Q23" s="319" t="s">
        <v>1129</v>
      </c>
      <c r="R23" s="354">
        <f>IF(AND(ISBLANK(P23),ISTEXT(Q23)),"t1?",IF(AND(ISBLANK(Q23),ISBLANK(P23)),"",VLOOKUP(BH23,Materialliste!$A$2:$B$1615,2,FALSE)))</f>
        <v>1250</v>
      </c>
      <c r="S23" s="318">
        <v>1.4</v>
      </c>
      <c r="T23" s="319" t="s">
        <v>1001</v>
      </c>
      <c r="U23" s="354">
        <f>IF(AND(ISBLANK(S23),ISTEXT(T23)),"t2?",IF(AND(ISBLANK(T23),ISBLANK(S23)),"",VLOOKUP(BI23,Materialliste!$A$2:$B$1615,2,FALSE)))</f>
        <v>550</v>
      </c>
      <c r="V23" s="318"/>
      <c r="W23" s="319"/>
      <c r="X23" s="354" t="str">
        <f>IF(AND(ISBLANK(V23),ISTEXT(W23)),"t3?",IF(AND(ISBLANK(W23),ISBLANK(V23)),"",VLOOKUP(BJ23,Materialliste!$A$2:$B$1615,2,FALSE)))</f>
        <v/>
      </c>
      <c r="Y23" s="442" t="s">
        <v>1925</v>
      </c>
      <c r="Z23" s="345">
        <f t="shared" si="0"/>
        <v>1.52</v>
      </c>
      <c r="AA23" s="346">
        <f t="shared" si="11"/>
        <v>1.1727272727272728</v>
      </c>
      <c r="AB23" s="453">
        <f t="shared" si="12"/>
        <v>3.6611018181818187</v>
      </c>
      <c r="AC23" s="347">
        <f t="shared" si="13"/>
        <v>6.8999599999999992</v>
      </c>
      <c r="AD23" s="322">
        <f t="shared" si="1"/>
        <v>760.86956521739125</v>
      </c>
      <c r="AE23" s="348">
        <f t="shared" si="14"/>
        <v>2.5627712727272729</v>
      </c>
      <c r="AF23" s="479">
        <f t="shared" si="15"/>
        <v>4.141255848169731</v>
      </c>
      <c r="AG23" s="481" t="str">
        <f t="shared" si="16"/>
        <v/>
      </c>
      <c r="AH23" s="460" t="str">
        <f t="shared" si="2"/>
        <v>39D 1978-2</v>
      </c>
      <c r="AI23" s="349">
        <f t="shared" si="17"/>
        <v>6</v>
      </c>
      <c r="AJ23" s="349">
        <f t="shared" si="18"/>
        <v>50</v>
      </c>
      <c r="AK23" s="349">
        <f t="shared" si="19"/>
        <v>6</v>
      </c>
      <c r="AL23" s="350">
        <f t="shared" si="20"/>
        <v>50</v>
      </c>
      <c r="AM23" s="695"/>
      <c r="AN23" s="696"/>
      <c r="AO23" s="351"/>
      <c r="AP23" s="503"/>
      <c r="AQ23" s="352"/>
      <c r="AR23" s="352"/>
      <c r="AS23" s="352"/>
      <c r="AT23" s="352"/>
      <c r="AU23" s="352"/>
      <c r="AV23" s="352"/>
      <c r="AW23" s="352"/>
      <c r="AX23" s="352"/>
      <c r="AY23" s="352"/>
      <c r="AZ23" s="352"/>
      <c r="BA23" s="352"/>
      <c r="BB23" s="353"/>
      <c r="BC23" s="282"/>
      <c r="BE23" s="282"/>
      <c r="BF23" s="352" t="str">
        <f t="shared" si="21"/>
        <v>Nein</v>
      </c>
      <c r="BH23" s="472" t="str">
        <f t="shared" si="3"/>
        <v>TL 4225-AS30/30</v>
      </c>
      <c r="BI23" s="472" t="str">
        <f t="shared" si="4"/>
        <v>CR440Y780T-DP-EG12/12</v>
      </c>
      <c r="BJ23" s="472">
        <f t="shared" si="5"/>
        <v>0</v>
      </c>
      <c r="BM23" s="473">
        <f t="shared" si="6"/>
        <v>2</v>
      </c>
      <c r="BN23" s="474">
        <f>LARGE(BO23:BQ23,2)</f>
        <v>1.4</v>
      </c>
      <c r="BO23" s="473">
        <f t="shared" si="7"/>
        <v>2</v>
      </c>
      <c r="BP23" s="473">
        <f t="shared" si="8"/>
        <v>1.4</v>
      </c>
      <c r="BQ23" s="473">
        <f t="shared" si="9"/>
        <v>0</v>
      </c>
      <c r="BR23" s="329"/>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0"/>
      <c r="CH23" s="306" t="str">
        <f t="shared" si="30"/>
        <v>39D 1978-2</v>
      </c>
      <c r="CL23" s="306" t="str">
        <f t="shared" si="31"/>
        <v>39D 1978-2</v>
      </c>
    </row>
    <row r="24" spans="1:90" ht="33" customHeight="1">
      <c r="A24" s="922"/>
      <c r="B24" s="281"/>
      <c r="C24" s="331">
        <v>7.1164500000000004</v>
      </c>
      <c r="D24" s="332" t="s">
        <v>1944</v>
      </c>
      <c r="E24" s="333" t="s">
        <v>1188</v>
      </c>
      <c r="F24" s="334" t="s">
        <v>1935</v>
      </c>
      <c r="G24" s="335" t="s">
        <v>1936</v>
      </c>
      <c r="H24" s="336" t="s">
        <v>1937</v>
      </c>
      <c r="I24" s="478" t="s">
        <v>1188</v>
      </c>
      <c r="J24" s="337">
        <v>553.33000000000004</v>
      </c>
      <c r="K24" s="338">
        <v>421.84</v>
      </c>
      <c r="L24" s="339">
        <v>-73.62</v>
      </c>
      <c r="M24" s="341" t="s">
        <v>1931</v>
      </c>
      <c r="N24" s="341" t="s">
        <v>1932</v>
      </c>
      <c r="O24" s="341" t="s">
        <v>1188</v>
      </c>
      <c r="P24" s="318">
        <v>2</v>
      </c>
      <c r="Q24" s="319" t="s">
        <v>1129</v>
      </c>
      <c r="R24" s="354">
        <f>IF(AND(ISBLANK(P24),ISTEXT(Q24)),"t1?",IF(AND(ISBLANK(Q24),ISBLANK(P24)),"",VLOOKUP(BH24,Materialliste!$A$2:$B$1615,2,FALSE)))</f>
        <v>1250</v>
      </c>
      <c r="S24" s="318">
        <v>1.4</v>
      </c>
      <c r="T24" s="319" t="s">
        <v>1001</v>
      </c>
      <c r="U24" s="354">
        <f>IF(AND(ISBLANK(S24),ISTEXT(T24)),"t2?",IF(AND(ISBLANK(T24),ISBLANK(S24)),"",VLOOKUP(BI24,Materialliste!$A$2:$B$1615,2,FALSE)))</f>
        <v>550</v>
      </c>
      <c r="V24" s="318"/>
      <c r="W24" s="319"/>
      <c r="X24" s="354" t="str">
        <f>IF(AND(ISBLANK(V24),ISTEXT(W24)),"t3?",IF(AND(ISBLANK(W24),ISBLANK(V24)),"",VLOOKUP(BJ24,Materialliste!$A$2:$B$1615,2,FALSE)))</f>
        <v/>
      </c>
      <c r="Y24" s="442" t="s">
        <v>1925</v>
      </c>
      <c r="Z24" s="345">
        <f t="shared" si="0"/>
        <v>1.52</v>
      </c>
      <c r="AA24" s="346">
        <f t="shared" si="11"/>
        <v>1.1727272727272728</v>
      </c>
      <c r="AB24" s="453">
        <f t="shared" si="12"/>
        <v>3.6611018181818187</v>
      </c>
      <c r="AC24" s="347">
        <f t="shared" si="13"/>
        <v>6.8999599999999992</v>
      </c>
      <c r="AD24" s="322">
        <f t="shared" si="1"/>
        <v>760.86956521739125</v>
      </c>
      <c r="AE24" s="348">
        <f t="shared" si="14"/>
        <v>2.5627712727272729</v>
      </c>
      <c r="AF24" s="479">
        <f t="shared" si="15"/>
        <v>4.141255848169731</v>
      </c>
      <c r="AG24" s="481" t="str">
        <f t="shared" si="16"/>
        <v/>
      </c>
      <c r="AH24" s="460" t="str">
        <f t="shared" si="2"/>
        <v>39D 1978-2</v>
      </c>
      <c r="AI24" s="349">
        <f t="shared" si="17"/>
        <v>6</v>
      </c>
      <c r="AJ24" s="349">
        <f t="shared" si="18"/>
        <v>50</v>
      </c>
      <c r="AK24" s="349">
        <f t="shared" si="19"/>
        <v>6</v>
      </c>
      <c r="AL24" s="350">
        <f t="shared" si="20"/>
        <v>50</v>
      </c>
      <c r="AM24" s="695"/>
      <c r="AN24" s="696"/>
      <c r="AO24" s="351"/>
      <c r="AP24" s="503"/>
      <c r="AQ24" s="352"/>
      <c r="AR24" s="352"/>
      <c r="AS24" s="352"/>
      <c r="AT24" s="352"/>
      <c r="AU24" s="352"/>
      <c r="AV24" s="352"/>
      <c r="AW24" s="352"/>
      <c r="AX24" s="352"/>
      <c r="AY24" s="352"/>
      <c r="AZ24" s="352"/>
      <c r="BA24" s="352"/>
      <c r="BB24" s="353"/>
      <c r="BC24" s="282"/>
      <c r="BE24" s="282"/>
      <c r="BF24" s="352" t="str">
        <f t="shared" si="21"/>
        <v>Nein</v>
      </c>
      <c r="BH24" s="472" t="str">
        <f t="shared" si="3"/>
        <v>TL 4225-AS30/30</v>
      </c>
      <c r="BI24" s="472" t="str">
        <f t="shared" si="4"/>
        <v>CR440Y780T-DP-EG12/12</v>
      </c>
      <c r="BJ24" s="472">
        <f t="shared" si="5"/>
        <v>0</v>
      </c>
      <c r="BM24" s="473">
        <f t="shared" si="6"/>
        <v>2</v>
      </c>
      <c r="BN24" s="474">
        <f t="shared" si="22"/>
        <v>1.4</v>
      </c>
      <c r="BO24" s="473">
        <f t="shared" si="7"/>
        <v>2</v>
      </c>
      <c r="BP24" s="473">
        <f t="shared" si="8"/>
        <v>1.4</v>
      </c>
      <c r="BQ24" s="473">
        <f t="shared" si="9"/>
        <v>0</v>
      </c>
      <c r="BR24" s="329"/>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0"/>
      <c r="CH24" s="306" t="str">
        <f t="shared" si="30"/>
        <v>39D 1978-2</v>
      </c>
      <c r="CL24" s="306" t="str">
        <f t="shared" si="31"/>
        <v>39D 1978-2</v>
      </c>
    </row>
    <row r="25" spans="1:90" ht="33" customHeight="1">
      <c r="A25" s="922"/>
      <c r="B25" s="281"/>
      <c r="C25" s="331">
        <v>7.11646</v>
      </c>
      <c r="D25" s="332" t="s">
        <v>1945</v>
      </c>
      <c r="E25" s="333" t="s">
        <v>1188</v>
      </c>
      <c r="F25" s="334" t="s">
        <v>1935</v>
      </c>
      <c r="G25" s="335" t="s">
        <v>1936</v>
      </c>
      <c r="H25" s="336" t="s">
        <v>1937</v>
      </c>
      <c r="I25" s="478" t="s">
        <v>1188</v>
      </c>
      <c r="J25" s="337">
        <v>612.54</v>
      </c>
      <c r="K25" s="338">
        <v>424.41</v>
      </c>
      <c r="L25" s="339">
        <v>-72.59</v>
      </c>
      <c r="M25" s="341" t="s">
        <v>1931</v>
      </c>
      <c r="N25" s="341" t="s">
        <v>1932</v>
      </c>
      <c r="O25" s="341" t="s">
        <v>1188</v>
      </c>
      <c r="P25" s="318">
        <v>2</v>
      </c>
      <c r="Q25" s="319" t="s">
        <v>1129</v>
      </c>
      <c r="R25" s="354">
        <f>IF(AND(ISBLANK(P25),ISTEXT(Q25)),"t1?",IF(AND(ISBLANK(Q25),ISBLANK(P25)),"",VLOOKUP(BH25,Materialliste!$A$2:$B$1615,2,FALSE)))</f>
        <v>1250</v>
      </c>
      <c r="S25" s="318">
        <v>1.4</v>
      </c>
      <c r="T25" s="319" t="s">
        <v>1001</v>
      </c>
      <c r="U25" s="354">
        <f>IF(AND(ISBLANK(S25),ISTEXT(T25)),"t2?",IF(AND(ISBLANK(T25),ISBLANK(S25)),"",VLOOKUP(BI25,Materialliste!$A$2:$B$1615,2,FALSE)))</f>
        <v>550</v>
      </c>
      <c r="V25" s="318"/>
      <c r="W25" s="319"/>
      <c r="X25" s="354" t="str">
        <f>IF(AND(ISBLANK(V25),ISTEXT(W25)),"t3?",IF(AND(ISBLANK(W25),ISBLANK(V25)),"",VLOOKUP(BJ25,Materialliste!$A$2:$B$1615,2,FALSE)))</f>
        <v/>
      </c>
      <c r="Y25" s="442" t="s">
        <v>1925</v>
      </c>
      <c r="Z25" s="345">
        <f t="shared" si="0"/>
        <v>1.52</v>
      </c>
      <c r="AA25" s="346">
        <f t="shared" si="11"/>
        <v>1.1727272727272728</v>
      </c>
      <c r="AB25" s="453">
        <f t="shared" si="12"/>
        <v>3.6611018181818187</v>
      </c>
      <c r="AC25" s="347">
        <f t="shared" si="13"/>
        <v>6.8999599999999992</v>
      </c>
      <c r="AD25" s="322">
        <f t="shared" si="1"/>
        <v>760.86956521739125</v>
      </c>
      <c r="AE25" s="348">
        <f t="shared" si="14"/>
        <v>2.5627712727272729</v>
      </c>
      <c r="AF25" s="479">
        <f t="shared" si="15"/>
        <v>4.141255848169731</v>
      </c>
      <c r="AG25" s="481" t="str">
        <f t="shared" si="16"/>
        <v/>
      </c>
      <c r="AH25" s="460" t="str">
        <f t="shared" si="2"/>
        <v>39D 1978-2</v>
      </c>
      <c r="AI25" s="349">
        <f t="shared" si="17"/>
        <v>6</v>
      </c>
      <c r="AJ25" s="349">
        <f t="shared" si="18"/>
        <v>50</v>
      </c>
      <c r="AK25" s="349">
        <f t="shared" si="19"/>
        <v>6</v>
      </c>
      <c r="AL25" s="350">
        <f t="shared" si="20"/>
        <v>50</v>
      </c>
      <c r="AM25" s="695"/>
      <c r="AN25" s="696"/>
      <c r="AO25" s="351"/>
      <c r="AP25" s="503"/>
      <c r="AQ25" s="352"/>
      <c r="AR25" s="352"/>
      <c r="AS25" s="352"/>
      <c r="AT25" s="352"/>
      <c r="AU25" s="352"/>
      <c r="AV25" s="352"/>
      <c r="AW25" s="352"/>
      <c r="AX25" s="352"/>
      <c r="AY25" s="352"/>
      <c r="AZ25" s="352"/>
      <c r="BA25" s="352"/>
      <c r="BB25" s="353"/>
      <c r="BC25" s="282"/>
      <c r="BE25" s="282"/>
      <c r="BF25" s="352" t="str">
        <f t="shared" si="21"/>
        <v>Nein</v>
      </c>
      <c r="BH25" s="472" t="str">
        <f t="shared" si="3"/>
        <v>TL 4225-AS30/30</v>
      </c>
      <c r="BI25" s="472" t="str">
        <f t="shared" si="4"/>
        <v>CR440Y780T-DP-EG12/12</v>
      </c>
      <c r="BJ25" s="472">
        <f t="shared" si="5"/>
        <v>0</v>
      </c>
      <c r="BM25" s="473">
        <f t="shared" si="6"/>
        <v>2</v>
      </c>
      <c r="BN25" s="474">
        <f t="shared" si="22"/>
        <v>1.4</v>
      </c>
      <c r="BO25" s="473">
        <f t="shared" si="7"/>
        <v>2</v>
      </c>
      <c r="BP25" s="473">
        <f t="shared" si="8"/>
        <v>1.4</v>
      </c>
      <c r="BQ25" s="473">
        <f t="shared" si="9"/>
        <v>0</v>
      </c>
      <c r="BR25" s="329"/>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0"/>
      <c r="CH25" s="306" t="str">
        <f t="shared" si="30"/>
        <v>39D 1978-2</v>
      </c>
      <c r="CL25" s="306" t="str">
        <f t="shared" si="31"/>
        <v>39D 1978-2</v>
      </c>
    </row>
    <row r="26" spans="1:90" ht="33" customHeight="1">
      <c r="A26" s="922"/>
      <c r="B26" s="281"/>
      <c r="C26" s="331">
        <v>7.1164699999999996</v>
      </c>
      <c r="D26" s="332" t="s">
        <v>1946</v>
      </c>
      <c r="E26" s="333" t="s">
        <v>1188</v>
      </c>
      <c r="F26" s="334" t="s">
        <v>1935</v>
      </c>
      <c r="G26" s="335" t="s">
        <v>1936</v>
      </c>
      <c r="H26" s="336" t="s">
        <v>1937</v>
      </c>
      <c r="I26" s="478" t="s">
        <v>1188</v>
      </c>
      <c r="J26" s="337">
        <v>627.16</v>
      </c>
      <c r="K26" s="338">
        <v>449.72</v>
      </c>
      <c r="L26" s="339">
        <v>-72.33</v>
      </c>
      <c r="M26" s="341" t="s">
        <v>1931</v>
      </c>
      <c r="N26" s="341" t="s">
        <v>1932</v>
      </c>
      <c r="O26" s="341" t="s">
        <v>1188</v>
      </c>
      <c r="P26" s="318">
        <v>2</v>
      </c>
      <c r="Q26" s="319" t="s">
        <v>1129</v>
      </c>
      <c r="R26" s="354">
        <f>IF(AND(ISBLANK(P26),ISTEXT(Q26)),"t1?",IF(AND(ISBLANK(Q26),ISBLANK(P26)),"",VLOOKUP(BH26,Materialliste!$A$2:$B$1615,2,FALSE)))</f>
        <v>1250</v>
      </c>
      <c r="S26" s="318">
        <v>1.4</v>
      </c>
      <c r="T26" s="319" t="s">
        <v>1001</v>
      </c>
      <c r="U26" s="354">
        <f>IF(AND(ISBLANK(S26),ISTEXT(T26)),"t2?",IF(AND(ISBLANK(T26),ISBLANK(S26)),"",VLOOKUP(BI26,Materialliste!$A$2:$B$1615,2,FALSE)))</f>
        <v>550</v>
      </c>
      <c r="V26" s="318"/>
      <c r="W26" s="319"/>
      <c r="X26" s="354" t="str">
        <f>IF(AND(ISBLANK(V26),ISTEXT(W26)),"t3?",IF(AND(ISBLANK(W26),ISBLANK(V26)),"",VLOOKUP(BJ26,Materialliste!$A$2:$B$1615,2,FALSE)))</f>
        <v/>
      </c>
      <c r="Y26" s="442" t="s">
        <v>1925</v>
      </c>
      <c r="Z26" s="345">
        <f t="shared" si="0"/>
        <v>1.52</v>
      </c>
      <c r="AA26" s="346">
        <f t="shared" si="11"/>
        <v>1.1727272727272728</v>
      </c>
      <c r="AB26" s="453">
        <f t="shared" si="12"/>
        <v>3.6611018181818187</v>
      </c>
      <c r="AC26" s="347">
        <f t="shared" si="13"/>
        <v>6.8999599999999992</v>
      </c>
      <c r="AD26" s="322">
        <f>IF(OR(ISBLANK(G26),Z26="BLECH?"),"",IF(AND(BT26="J",G26="C"),60,IF(G26="B",60,IF(G26="R",150,IF(G26="S",90,IF(AND(G26="m",BT26="n"),350,IF(AND(G26="m",BT26="j"),50,MAX(MIN((((P26+S26+V26-1.4)*(600/4.6))+200)+BU26,900),200))))))))</f>
        <v>760.86956521739125</v>
      </c>
      <c r="AE26" s="348">
        <f t="shared" si="14"/>
        <v>2.5627712727272729</v>
      </c>
      <c r="AF26" s="479">
        <f t="shared" si="15"/>
        <v>4.141255848169731</v>
      </c>
      <c r="AG26" s="481" t="str">
        <f t="shared" si="16"/>
        <v/>
      </c>
      <c r="AH26" s="460" t="str">
        <f t="shared" si="2"/>
        <v>39D 1978-2</v>
      </c>
      <c r="AI26" s="349">
        <f t="shared" si="17"/>
        <v>6</v>
      </c>
      <c r="AJ26" s="349">
        <f t="shared" si="18"/>
        <v>50</v>
      </c>
      <c r="AK26" s="349">
        <f t="shared" si="19"/>
        <v>6</v>
      </c>
      <c r="AL26" s="350">
        <f t="shared" si="20"/>
        <v>50</v>
      </c>
      <c r="AM26" s="695"/>
      <c r="AN26" s="696"/>
      <c r="AO26" s="351"/>
      <c r="AP26" s="503"/>
      <c r="AQ26" s="352"/>
      <c r="AR26" s="352"/>
      <c r="AS26" s="352"/>
      <c r="AT26" s="352"/>
      <c r="AU26" s="352"/>
      <c r="AV26" s="352"/>
      <c r="AW26" s="352"/>
      <c r="AX26" s="352"/>
      <c r="AY26" s="352"/>
      <c r="AZ26" s="352"/>
      <c r="BA26" s="352"/>
      <c r="BB26" s="353"/>
      <c r="BC26" s="282"/>
      <c r="BE26" s="282"/>
      <c r="BF26" s="352" t="str">
        <f t="shared" si="21"/>
        <v>Nein</v>
      </c>
      <c r="BH26" s="472" t="str">
        <f t="shared" si="3"/>
        <v>TL 4225-AS30/30</v>
      </c>
      <c r="BI26" s="472" t="str">
        <f t="shared" si="4"/>
        <v>CR440Y780T-DP-EG12/12</v>
      </c>
      <c r="BJ26" s="472">
        <f t="shared" si="5"/>
        <v>0</v>
      </c>
      <c r="BM26" s="473">
        <f t="shared" si="6"/>
        <v>2</v>
      </c>
      <c r="BN26" s="474">
        <f t="shared" si="22"/>
        <v>1.4</v>
      </c>
      <c r="BO26" s="473">
        <f t="shared" si="7"/>
        <v>2</v>
      </c>
      <c r="BP26" s="473">
        <f t="shared" si="8"/>
        <v>1.4</v>
      </c>
      <c r="BQ26" s="473">
        <f t="shared" si="9"/>
        <v>0</v>
      </c>
      <c r="BR26" s="329"/>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0"/>
      <c r="CH26" s="306" t="str">
        <f t="shared" si="30"/>
        <v>39D 1978-2</v>
      </c>
      <c r="CL26" s="306" t="str">
        <f t="shared" si="31"/>
        <v>39D 1978-2</v>
      </c>
    </row>
    <row r="27" spans="1:90" ht="33" customHeight="1">
      <c r="A27" s="922"/>
      <c r="B27" s="281"/>
      <c r="C27" s="331">
        <v>7.1164800000000001</v>
      </c>
      <c r="D27" s="332" t="s">
        <v>1947</v>
      </c>
      <c r="E27" s="333" t="s">
        <v>1188</v>
      </c>
      <c r="F27" s="334" t="s">
        <v>1935</v>
      </c>
      <c r="G27" s="335" t="s">
        <v>1936</v>
      </c>
      <c r="H27" s="336" t="s">
        <v>1937</v>
      </c>
      <c r="I27" s="478" t="s">
        <v>1188</v>
      </c>
      <c r="J27" s="337">
        <v>670.14</v>
      </c>
      <c r="K27" s="338">
        <v>451.13</v>
      </c>
      <c r="L27" s="339">
        <v>-71.45</v>
      </c>
      <c r="M27" s="341" t="s">
        <v>1931</v>
      </c>
      <c r="N27" s="341" t="s">
        <v>1932</v>
      </c>
      <c r="O27" s="341" t="s">
        <v>1188</v>
      </c>
      <c r="P27" s="318">
        <v>2</v>
      </c>
      <c r="Q27" s="319" t="s">
        <v>1129</v>
      </c>
      <c r="R27" s="354">
        <f>IF(AND(ISBLANK(P27),ISTEXT(Q27)),"t1?",IF(AND(ISBLANK(Q27),ISBLANK(P27)),"",VLOOKUP(BH27,Materialliste!$A$2:$B$1615,2,FALSE)))</f>
        <v>1250</v>
      </c>
      <c r="S27" s="318">
        <v>1.4</v>
      </c>
      <c r="T27" s="319" t="s">
        <v>1001</v>
      </c>
      <c r="U27" s="354">
        <f>IF(AND(ISBLANK(S27),ISTEXT(T27)),"t2?",IF(AND(ISBLANK(T27),ISBLANK(S27)),"",VLOOKUP(BI27,Materialliste!$A$2:$B$1615,2,FALSE)))</f>
        <v>550</v>
      </c>
      <c r="V27" s="318"/>
      <c r="W27" s="319"/>
      <c r="X27" s="354" t="str">
        <f>IF(AND(ISBLANK(V27),ISTEXT(W27)),"t3?",IF(AND(ISBLANK(W27),ISBLANK(V27)),"",VLOOKUP(BJ27,Materialliste!$A$2:$B$1615,2,FALSE)))</f>
        <v/>
      </c>
      <c r="Y27" s="442" t="s">
        <v>1925</v>
      </c>
      <c r="Z27" s="345">
        <f t="shared" si="0"/>
        <v>1.52</v>
      </c>
      <c r="AA27" s="346">
        <f t="shared" si="11"/>
        <v>1.1727272727272728</v>
      </c>
      <c r="AB27" s="453">
        <f t="shared" si="12"/>
        <v>3.6611018181818187</v>
      </c>
      <c r="AC27" s="347">
        <f t="shared" si="13"/>
        <v>6.8999599999999992</v>
      </c>
      <c r="AD27" s="322">
        <f t="shared" ref="AD27:AD43" si="32">IF(OR(ISBLANK(G27),Z27="BLECH?"),"",IF(AND(BT27="J",G27="C"),60,IF(G27="B",60,IF(G27="R",150,IF(G27="S",90,IF(AND(G27="m",BT27="n"),350,IF(AND(G27="m",BT27="j"),50,MAX(MIN((((P27+S27+V27-1.4)*(600/4.6))+200)+BU27,900),200))))))))</f>
        <v>760.86956521739125</v>
      </c>
      <c r="AE27" s="348">
        <f t="shared" si="14"/>
        <v>2.5627712727272729</v>
      </c>
      <c r="AF27" s="479">
        <f t="shared" si="15"/>
        <v>4.141255848169731</v>
      </c>
      <c r="AG27" s="481" t="str">
        <f t="shared" si="16"/>
        <v/>
      </c>
      <c r="AH27" s="460" t="str">
        <f t="shared" si="2"/>
        <v>39D 1978-2</v>
      </c>
      <c r="AI27" s="349">
        <f t="shared" si="17"/>
        <v>6</v>
      </c>
      <c r="AJ27" s="349">
        <f t="shared" si="18"/>
        <v>50</v>
      </c>
      <c r="AK27" s="349">
        <f t="shared" si="19"/>
        <v>6</v>
      </c>
      <c r="AL27" s="350">
        <f t="shared" si="20"/>
        <v>50</v>
      </c>
      <c r="AM27" s="695"/>
      <c r="AN27" s="696"/>
      <c r="AO27" s="351"/>
      <c r="AP27" s="503"/>
      <c r="AQ27" s="352"/>
      <c r="AR27" s="352"/>
      <c r="AS27" s="352"/>
      <c r="AT27" s="352"/>
      <c r="AU27" s="352"/>
      <c r="AV27" s="352"/>
      <c r="AW27" s="352"/>
      <c r="AX27" s="352"/>
      <c r="AY27" s="352"/>
      <c r="AZ27" s="352"/>
      <c r="BA27" s="352"/>
      <c r="BB27" s="353"/>
      <c r="BC27" s="282"/>
      <c r="BE27" s="282"/>
      <c r="BF27" s="352" t="str">
        <f t="shared" si="21"/>
        <v>Nein</v>
      </c>
      <c r="BH27" s="472" t="str">
        <f t="shared" si="3"/>
        <v>TL 4225-AS30/30</v>
      </c>
      <c r="BI27" s="472" t="str">
        <f t="shared" si="4"/>
        <v>CR440Y780T-DP-EG12/12</v>
      </c>
      <c r="BJ27" s="472">
        <f t="shared" si="5"/>
        <v>0</v>
      </c>
      <c r="BM27" s="473">
        <f t="shared" si="6"/>
        <v>2</v>
      </c>
      <c r="BN27" s="474">
        <f t="shared" si="22"/>
        <v>1.4</v>
      </c>
      <c r="BO27" s="473">
        <f t="shared" si="7"/>
        <v>2</v>
      </c>
      <c r="BP27" s="473">
        <f t="shared" si="8"/>
        <v>1.4</v>
      </c>
      <c r="BQ27" s="473">
        <f t="shared" si="9"/>
        <v>0</v>
      </c>
      <c r="BR27" s="329"/>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0"/>
      <c r="CH27" s="306" t="str">
        <f t="shared" si="30"/>
        <v>39D 1978-2</v>
      </c>
      <c r="CL27" s="306" t="str">
        <f t="shared" si="31"/>
        <v>39D 1978-2</v>
      </c>
    </row>
    <row r="28" spans="1:90" ht="33" customHeight="1">
      <c r="A28" s="922"/>
      <c r="B28" s="281"/>
      <c r="C28" s="331">
        <v>7.1164899999999998</v>
      </c>
      <c r="D28" s="332" t="s">
        <v>1948</v>
      </c>
      <c r="E28" s="333" t="s">
        <v>1188</v>
      </c>
      <c r="F28" s="334" t="s">
        <v>1935</v>
      </c>
      <c r="G28" s="335" t="s">
        <v>1936</v>
      </c>
      <c r="H28" s="336" t="s">
        <v>1937</v>
      </c>
      <c r="I28" s="475" t="s">
        <v>1188</v>
      </c>
      <c r="J28" s="337">
        <v>-345.49</v>
      </c>
      <c r="K28" s="338">
        <v>560.25</v>
      </c>
      <c r="L28" s="339">
        <v>332.03</v>
      </c>
      <c r="M28" s="341" t="s">
        <v>1939</v>
      </c>
      <c r="N28" s="341" t="s">
        <v>1930</v>
      </c>
      <c r="O28" s="341" t="s">
        <v>1940</v>
      </c>
      <c r="P28" s="318">
        <v>1.75</v>
      </c>
      <c r="Q28" s="319" t="s">
        <v>615</v>
      </c>
      <c r="R28" s="354">
        <f>IF(AND(ISBLANK(P28),ISTEXT(Q28)),"t1?",IF(AND(ISBLANK(Q28),ISBLANK(P28)),"",VLOOKUP(BH28,Materialliste!$A$2:$B$1615,2,FALSE)))</f>
        <v>350</v>
      </c>
      <c r="S28" s="318">
        <v>1.7</v>
      </c>
      <c r="T28" s="319" t="s">
        <v>1004</v>
      </c>
      <c r="U28" s="354">
        <f>IF(AND(ISBLANK(S28),ISTEXT(T28)),"t2?",IF(AND(ISBLANK(T28),ISBLANK(S28)),"",VLOOKUP(BI28,Materialliste!$A$2:$B$1615,2,FALSE)))</f>
        <v>550</v>
      </c>
      <c r="V28" s="318">
        <v>1</v>
      </c>
      <c r="W28" s="355" t="s">
        <v>1949</v>
      </c>
      <c r="X28" s="354" t="e">
        <f>IF(AND(ISBLANK(V28),ISTEXT(W28)),"t3?",IF(AND(ISBLANK(W28),ISBLANK(V28)),"",VLOOKUP(BJ28,Materialliste!$A$2:$B$1615,2,FALSE)))</f>
        <v>#N/A</v>
      </c>
      <c r="Y28" s="442" t="s">
        <v>1925</v>
      </c>
      <c r="Z28" s="345">
        <f t="shared" si="0"/>
        <v>1.7100000000000002</v>
      </c>
      <c r="AA28" s="346" t="e">
        <f t="shared" si="11"/>
        <v>#N/A</v>
      </c>
      <c r="AB28" s="453" t="e">
        <f t="shared" si="12"/>
        <v>#N/A</v>
      </c>
      <c r="AC28" s="347" t="e">
        <f t="shared" si="13"/>
        <v>#N/A</v>
      </c>
      <c r="AD28" s="322" t="e">
        <f t="shared" si="32"/>
        <v>#N/A</v>
      </c>
      <c r="AE28" s="348" t="e">
        <f t="shared" si="14"/>
        <v>#N/A</v>
      </c>
      <c r="AF28" s="479">
        <f t="shared" si="15"/>
        <v>4.5634416836418543</v>
      </c>
      <c r="AG28" s="481">
        <f t="shared" si="16"/>
        <v>3.5</v>
      </c>
      <c r="AH28" s="460" t="e">
        <f t="shared" si="2"/>
        <v>#N/A</v>
      </c>
      <c r="AI28" s="349">
        <f t="shared" si="17"/>
        <v>6</v>
      </c>
      <c r="AJ28" s="349">
        <f t="shared" si="18"/>
        <v>50</v>
      </c>
      <c r="AK28" s="349">
        <f t="shared" si="19"/>
        <v>6</v>
      </c>
      <c r="AL28" s="350">
        <f t="shared" si="20"/>
        <v>50</v>
      </c>
      <c r="AM28" s="695"/>
      <c r="AN28" s="696"/>
      <c r="AO28" s="351"/>
      <c r="AP28" s="503"/>
      <c r="AQ28" s="352"/>
      <c r="AR28" s="352"/>
      <c r="AS28" s="352"/>
      <c r="AT28" s="352"/>
      <c r="AU28" s="352"/>
      <c r="AV28" s="352"/>
      <c r="AW28" s="352"/>
      <c r="AX28" s="352"/>
      <c r="AY28" s="352"/>
      <c r="AZ28" s="352"/>
      <c r="BA28" s="352"/>
      <c r="BB28" s="353"/>
      <c r="BC28" s="282"/>
      <c r="BE28" s="282"/>
      <c r="BF28" s="352" t="e">
        <f t="shared" si="21"/>
        <v>#N/A</v>
      </c>
      <c r="BH28" s="472" t="str">
        <f t="shared" si="3"/>
        <v>CR270LA-UC</v>
      </c>
      <c r="BI28" s="472" t="str">
        <f t="shared" si="4"/>
        <v>CR440Y780T-DP-GI40/40</v>
      </c>
      <c r="BJ28" s="472" t="str">
        <f t="shared" si="5"/>
        <v>HC450XD+Z100-M-B</v>
      </c>
      <c r="BM28" s="473">
        <f t="shared" si="6"/>
        <v>1.75</v>
      </c>
      <c r="BN28" s="474">
        <f t="shared" si="22"/>
        <v>1.7</v>
      </c>
      <c r="BO28" s="473">
        <f t="shared" si="7"/>
        <v>1.75</v>
      </c>
      <c r="BP28" s="473">
        <f t="shared" si="8"/>
        <v>1.7</v>
      </c>
      <c r="BQ28" s="473">
        <f t="shared" si="9"/>
        <v>1</v>
      </c>
      <c r="BR28" s="329"/>
      <c r="BS28" s="298" t="e">
        <f t="shared" si="23"/>
        <v>#N/A</v>
      </c>
      <c r="BT28" s="282" t="str">
        <f>_xlfn.IFNA(IF(MATCH(Q28,Materialliste!$A$1563:$A$1615,0)&gt;=1,"J"),"N")</f>
        <v>N</v>
      </c>
      <c r="BU28" s="298" t="e">
        <f t="shared" si="24"/>
        <v>#N/A</v>
      </c>
      <c r="BV28" s="298" t="e">
        <f t="shared" si="25"/>
        <v>#N/A</v>
      </c>
      <c r="BW28" s="298" t="e">
        <f t="shared" si="26"/>
        <v>#N/A</v>
      </c>
      <c r="BX28" s="298" t="b">
        <f t="shared" si="10"/>
        <v>1</v>
      </c>
      <c r="BY28" s="298">
        <f t="shared" si="27"/>
        <v>0.9</v>
      </c>
      <c r="BZ28" s="298" t="e">
        <f t="shared" si="28"/>
        <v>#N/A</v>
      </c>
      <c r="CA28" s="298" t="e">
        <f t="shared" si="29"/>
        <v>#N/A</v>
      </c>
      <c r="CB28" s="330"/>
      <c r="CH28" s="306" t="e">
        <f t="shared" si="30"/>
        <v>#N/A</v>
      </c>
      <c r="CL28" s="306" t="e">
        <f t="shared" si="31"/>
        <v>#N/A</v>
      </c>
    </row>
    <row r="29" spans="1:90" ht="33" customHeight="1">
      <c r="A29" s="922"/>
      <c r="B29" s="281"/>
      <c r="C29" s="331"/>
      <c r="D29" s="332"/>
      <c r="E29" s="333"/>
      <c r="F29" s="334"/>
      <c r="G29" s="335"/>
      <c r="H29" s="336"/>
      <c r="I29" s="475"/>
      <c r="J29" s="337"/>
      <c r="K29" s="338"/>
      <c r="L29" s="339"/>
      <c r="M29" s="341"/>
      <c r="N29" s="341"/>
      <c r="O29" s="341"/>
      <c r="P29" s="318"/>
      <c r="Q29" s="319"/>
      <c r="R29" s="354" t="str">
        <f>IF(AND(ISBLANK(P29),ISTEXT(Q29)),"t1?",IF(AND(ISBLANK(Q29),ISBLANK(P29)),"",VLOOKUP(BH29,Materialliste!$A$2:$B$1615,2,FALSE)))</f>
        <v/>
      </c>
      <c r="S29" s="318"/>
      <c r="T29" s="319"/>
      <c r="U29" s="354" t="str">
        <f>IF(AND(ISBLANK(S29),ISTEXT(T29)),"t2?",IF(AND(ISBLANK(T29),ISBLANK(S29)),"",VLOOKUP(BI29,Materialliste!$A$2:$B$1615,2,FALSE)))</f>
        <v/>
      </c>
      <c r="V29" s="318"/>
      <c r="W29" s="355"/>
      <c r="X29" s="354" t="str">
        <f>IF(AND(ISBLANK(V29),ISTEXT(W29)),"t3?",IF(AND(ISBLANK(W29),ISBLANK(V29)),"",VLOOKUP(BJ29,Materialliste!$A$2:$B$1615,2,FALSE)))</f>
        <v/>
      </c>
      <c r="Y29" s="442"/>
      <c r="Z29" s="345" t="str">
        <f t="shared" si="0"/>
        <v>BLECH?</v>
      </c>
      <c r="AA29" s="346" t="str">
        <f t="shared" si="11"/>
        <v>?Re</v>
      </c>
      <c r="AB29" s="453" t="str">
        <f t="shared" si="12"/>
        <v>Klebstoff?</v>
      </c>
      <c r="AC29" s="347" t="str">
        <f t="shared" si="13"/>
        <v/>
      </c>
      <c r="AD29" s="322" t="str">
        <f t="shared" si="32"/>
        <v/>
      </c>
      <c r="AE29" s="348" t="str">
        <f t="shared" si="14"/>
        <v>Klebstoff?</v>
      </c>
      <c r="AF29" s="479" t="str">
        <f t="shared" si="15"/>
        <v/>
      </c>
      <c r="AG29" s="481" t="str">
        <f t="shared" si="16"/>
        <v/>
      </c>
      <c r="AH29" s="460" t="str">
        <f t="shared" si="2"/>
        <v/>
      </c>
      <c r="AI29" s="349" t="str">
        <f t="shared" si="17"/>
        <v/>
      </c>
      <c r="AJ29" s="349" t="str">
        <f t="shared" si="18"/>
        <v/>
      </c>
      <c r="AK29" s="349" t="str">
        <f t="shared" si="19"/>
        <v/>
      </c>
      <c r="AL29" s="350" t="str">
        <f t="shared" si="20"/>
        <v/>
      </c>
      <c r="AM29" s="695"/>
      <c r="AN29" s="696"/>
      <c r="AO29" s="351"/>
      <c r="AP29" s="503"/>
      <c r="AQ29" s="352"/>
      <c r="AR29" s="352"/>
      <c r="AS29" s="352"/>
      <c r="AT29" s="352"/>
      <c r="AU29" s="352"/>
      <c r="AV29" s="352"/>
      <c r="AW29" s="352"/>
      <c r="AX29" s="352"/>
      <c r="AY29" s="352"/>
      <c r="AZ29" s="352"/>
      <c r="BA29" s="352"/>
      <c r="BB29" s="353"/>
      <c r="BC29" s="282"/>
      <c r="BE29" s="282"/>
      <c r="BF29" s="352" t="str">
        <f t="shared" si="21"/>
        <v>Nein</v>
      </c>
      <c r="BH29" s="472">
        <f t="shared" si="3"/>
        <v>0</v>
      </c>
      <c r="BI29" s="472">
        <f t="shared" si="4"/>
        <v>0</v>
      </c>
      <c r="BJ29" s="472">
        <f t="shared" si="5"/>
        <v>0</v>
      </c>
      <c r="BM29" s="473">
        <f t="shared" si="6"/>
        <v>0</v>
      </c>
      <c r="BN29" s="474">
        <f t="shared" si="22"/>
        <v>0</v>
      </c>
      <c r="BO29" s="473">
        <f t="shared" si="7"/>
        <v>0</v>
      </c>
      <c r="BP29" s="473">
        <f t="shared" si="8"/>
        <v>0</v>
      </c>
      <c r="BQ29" s="473">
        <f t="shared" si="9"/>
        <v>0</v>
      </c>
      <c r="BR29" s="329"/>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0"/>
      <c r="CH29" s="306" t="str">
        <f t="shared" si="30"/>
        <v/>
      </c>
      <c r="CL29" s="306" t="str">
        <f t="shared" si="31"/>
        <v/>
      </c>
    </row>
    <row r="30" spans="1:90" ht="33" customHeight="1">
      <c r="A30" s="922"/>
      <c r="B30" s="281"/>
      <c r="C30" s="331"/>
      <c r="D30" s="332"/>
      <c r="E30" s="333"/>
      <c r="F30" s="334"/>
      <c r="G30" s="335"/>
      <c r="H30" s="336"/>
      <c r="I30" s="475"/>
      <c r="J30" s="337"/>
      <c r="K30" s="338"/>
      <c r="L30" s="339"/>
      <c r="M30" s="341"/>
      <c r="N30" s="341"/>
      <c r="O30" s="341"/>
      <c r="P30" s="318"/>
      <c r="Q30" s="319"/>
      <c r="R30" s="354" t="str">
        <f>IF(AND(ISBLANK(P30),ISTEXT(Q30)),"t1?",IF(AND(ISBLANK(Q30),ISBLANK(P30)),"",VLOOKUP(BH30,Materialliste!$A$2:$B$1615,2,FALSE)))</f>
        <v/>
      </c>
      <c r="S30" s="318"/>
      <c r="T30" s="319"/>
      <c r="U30" s="354" t="str">
        <f>IF(AND(ISBLANK(S30),ISTEXT(T30)),"t2?",IF(AND(ISBLANK(T30),ISBLANK(S30)),"",VLOOKUP(BI30,Materialliste!$A$2:$B$1615,2,FALSE)))</f>
        <v/>
      </c>
      <c r="V30" s="318"/>
      <c r="W30" s="319"/>
      <c r="X30" s="354" t="str">
        <f>IF(AND(ISBLANK(V30),ISTEXT(W30)),"t3?",IF(AND(ISBLANK(W30),ISBLANK(V30)),"",VLOOKUP(BJ30,Materialliste!$A$2:$B$1615,2,FALSE)))</f>
        <v/>
      </c>
      <c r="Y30" s="442"/>
      <c r="Z30" s="345" t="str">
        <f t="shared" si="0"/>
        <v>BLECH?</v>
      </c>
      <c r="AA30" s="346" t="str">
        <f t="shared" si="11"/>
        <v>?Re</v>
      </c>
      <c r="AB30" s="453" t="str">
        <f t="shared" si="12"/>
        <v>Klebstoff?</v>
      </c>
      <c r="AC30" s="347" t="str">
        <f t="shared" si="13"/>
        <v/>
      </c>
      <c r="AD30" s="322" t="str">
        <f t="shared" si="32"/>
        <v/>
      </c>
      <c r="AE30" s="348" t="str">
        <f t="shared" si="14"/>
        <v>Klebstoff?</v>
      </c>
      <c r="AF30" s="479" t="str">
        <f t="shared" si="15"/>
        <v/>
      </c>
      <c r="AG30" s="481" t="str">
        <f t="shared" si="16"/>
        <v/>
      </c>
      <c r="AH30" s="460" t="str">
        <f t="shared" si="2"/>
        <v/>
      </c>
      <c r="AI30" s="349" t="str">
        <f t="shared" si="17"/>
        <v/>
      </c>
      <c r="AJ30" s="349" t="str">
        <f t="shared" si="18"/>
        <v/>
      </c>
      <c r="AK30" s="349" t="str">
        <f t="shared" si="19"/>
        <v/>
      </c>
      <c r="AL30" s="350" t="str">
        <f t="shared" si="20"/>
        <v/>
      </c>
      <c r="AM30" s="695"/>
      <c r="AN30" s="696"/>
      <c r="AO30" s="351"/>
      <c r="AP30" s="503"/>
      <c r="AQ30" s="352"/>
      <c r="AR30" s="352"/>
      <c r="AS30" s="352"/>
      <c r="AT30" s="352"/>
      <c r="AU30" s="352"/>
      <c r="AV30" s="352"/>
      <c r="AW30" s="352"/>
      <c r="AX30" s="352"/>
      <c r="AY30" s="352"/>
      <c r="AZ30" s="352"/>
      <c r="BA30" s="352"/>
      <c r="BB30" s="353"/>
      <c r="BC30" s="282"/>
      <c r="BE30" s="282"/>
      <c r="BF30" s="352" t="str">
        <f t="shared" si="21"/>
        <v>Nein</v>
      </c>
      <c r="BH30" s="472">
        <f t="shared" si="3"/>
        <v>0</v>
      </c>
      <c r="BI30" s="472">
        <f t="shared" si="4"/>
        <v>0</v>
      </c>
      <c r="BJ30" s="472">
        <f t="shared" si="5"/>
        <v>0</v>
      </c>
      <c r="BM30" s="473">
        <f t="shared" si="6"/>
        <v>0</v>
      </c>
      <c r="BN30" s="474">
        <f t="shared" si="22"/>
        <v>0</v>
      </c>
      <c r="BO30" s="473">
        <f t="shared" si="7"/>
        <v>0</v>
      </c>
      <c r="BP30" s="473">
        <f t="shared" si="8"/>
        <v>0</v>
      </c>
      <c r="BQ30" s="473">
        <f t="shared" si="9"/>
        <v>0</v>
      </c>
      <c r="BR30" s="329"/>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0"/>
      <c r="CH30" s="306" t="str">
        <f t="shared" si="30"/>
        <v/>
      </c>
      <c r="CL30" s="306" t="str">
        <f t="shared" si="31"/>
        <v/>
      </c>
    </row>
    <row r="31" spans="1:90" ht="33" customHeight="1">
      <c r="A31" s="922"/>
      <c r="B31" s="281"/>
      <c r="C31" s="331"/>
      <c r="D31" s="332"/>
      <c r="E31" s="333"/>
      <c r="F31" s="334"/>
      <c r="G31" s="335"/>
      <c r="H31" s="336"/>
      <c r="I31" s="475"/>
      <c r="J31" s="337"/>
      <c r="K31" s="338"/>
      <c r="L31" s="339"/>
      <c r="M31" s="341"/>
      <c r="N31" s="341"/>
      <c r="O31" s="341"/>
      <c r="P31" s="318"/>
      <c r="Q31" s="319"/>
      <c r="R31" s="354" t="str">
        <f>IF(AND(ISBLANK(P31),ISTEXT(Q31)),"t1?",IF(AND(ISBLANK(Q31),ISBLANK(P31)),"",VLOOKUP(BH31,Materialliste!$A$2:$B$1615,2,FALSE)))</f>
        <v/>
      </c>
      <c r="S31" s="318"/>
      <c r="T31" s="319"/>
      <c r="U31" s="354" t="str">
        <f>IF(AND(ISBLANK(S31),ISTEXT(T31)),"t2?",IF(AND(ISBLANK(T31),ISBLANK(S31)),"",VLOOKUP(BI31,Materialliste!$A$2:$B$1615,2,FALSE)))</f>
        <v/>
      </c>
      <c r="V31" s="318"/>
      <c r="W31" s="355"/>
      <c r="X31" s="354" t="str">
        <f>IF(AND(ISBLANK(V31),ISTEXT(W31)),"t3?",IF(AND(ISBLANK(W31),ISBLANK(V31)),"",VLOOKUP(BJ31,Materialliste!$A$2:$B$1615,2,FALSE)))</f>
        <v/>
      </c>
      <c r="Y31" s="442"/>
      <c r="Z31" s="345" t="str">
        <f t="shared" si="0"/>
        <v>BLECH?</v>
      </c>
      <c r="AA31" s="346" t="str">
        <f t="shared" si="11"/>
        <v>?Re</v>
      </c>
      <c r="AB31" s="453" t="str">
        <f t="shared" si="12"/>
        <v>Klebstoff?</v>
      </c>
      <c r="AC31" s="347" t="str">
        <f t="shared" si="13"/>
        <v/>
      </c>
      <c r="AD31" s="322" t="str">
        <f t="shared" si="32"/>
        <v/>
      </c>
      <c r="AE31" s="348" t="str">
        <f t="shared" si="14"/>
        <v>Klebstoff?</v>
      </c>
      <c r="AF31" s="479" t="str">
        <f t="shared" si="15"/>
        <v/>
      </c>
      <c r="AG31" s="481" t="str">
        <f t="shared" si="16"/>
        <v/>
      </c>
      <c r="AH31" s="460" t="str">
        <f t="shared" si="2"/>
        <v/>
      </c>
      <c r="AI31" s="349" t="str">
        <f t="shared" si="17"/>
        <v/>
      </c>
      <c r="AJ31" s="349" t="str">
        <f t="shared" si="18"/>
        <v/>
      </c>
      <c r="AK31" s="349" t="str">
        <f t="shared" si="19"/>
        <v/>
      </c>
      <c r="AL31" s="350" t="str">
        <f t="shared" si="20"/>
        <v/>
      </c>
      <c r="AM31" s="695"/>
      <c r="AN31" s="696"/>
      <c r="AO31" s="351"/>
      <c r="AP31" s="503"/>
      <c r="AQ31" s="352"/>
      <c r="AR31" s="352"/>
      <c r="AS31" s="352"/>
      <c r="AT31" s="352"/>
      <c r="AU31" s="352"/>
      <c r="AV31" s="352"/>
      <c r="AW31" s="352"/>
      <c r="AX31" s="352"/>
      <c r="AY31" s="352"/>
      <c r="AZ31" s="352"/>
      <c r="BA31" s="352"/>
      <c r="BB31" s="353"/>
      <c r="BC31" s="282"/>
      <c r="BE31" s="282"/>
      <c r="BF31" s="352" t="str">
        <f t="shared" si="21"/>
        <v>Nein</v>
      </c>
      <c r="BH31" s="472">
        <f t="shared" si="3"/>
        <v>0</v>
      </c>
      <c r="BI31" s="472">
        <f t="shared" si="4"/>
        <v>0</v>
      </c>
      <c r="BJ31" s="472">
        <f t="shared" si="5"/>
        <v>0</v>
      </c>
      <c r="BM31" s="473">
        <f t="shared" si="6"/>
        <v>0</v>
      </c>
      <c r="BN31" s="474">
        <f t="shared" si="22"/>
        <v>0</v>
      </c>
      <c r="BO31" s="473">
        <f t="shared" si="7"/>
        <v>0</v>
      </c>
      <c r="BP31" s="473">
        <f t="shared" si="8"/>
        <v>0</v>
      </c>
      <c r="BQ31" s="473">
        <f t="shared" si="9"/>
        <v>0</v>
      </c>
      <c r="BR31" s="329"/>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0"/>
      <c r="CH31" s="306" t="str">
        <f t="shared" si="30"/>
        <v/>
      </c>
      <c r="CL31" s="306" t="str">
        <f t="shared" si="31"/>
        <v/>
      </c>
    </row>
    <row r="32" spans="1:90" ht="33" customHeight="1">
      <c r="A32" s="922"/>
      <c r="B32" s="281"/>
      <c r="C32" s="331"/>
      <c r="D32" s="332"/>
      <c r="E32" s="333"/>
      <c r="F32" s="334"/>
      <c r="G32" s="335"/>
      <c r="H32" s="336"/>
      <c r="I32" s="475"/>
      <c r="J32" s="337"/>
      <c r="K32" s="338"/>
      <c r="L32" s="339"/>
      <c r="M32" s="341"/>
      <c r="N32" s="341"/>
      <c r="O32" s="341"/>
      <c r="P32" s="318"/>
      <c r="Q32" s="319"/>
      <c r="R32" s="354" t="str">
        <f>IF(AND(ISBLANK(P32),ISTEXT(Q32)),"t1?",IF(AND(ISBLANK(Q32),ISBLANK(P32)),"",VLOOKUP(BH32,Materialliste!$A$2:$B$1615,2,FALSE)))</f>
        <v/>
      </c>
      <c r="S32" s="318"/>
      <c r="T32" s="319"/>
      <c r="U32" s="354" t="str">
        <f>IF(AND(ISBLANK(S32),ISTEXT(T32)),"t2?",IF(AND(ISBLANK(T32),ISBLANK(S32)),"",VLOOKUP(BI32,Materialliste!$A$2:$B$1615,2,FALSE)))</f>
        <v/>
      </c>
      <c r="V32" s="318"/>
      <c r="W32" s="355"/>
      <c r="X32" s="354" t="str">
        <f>IF(AND(ISBLANK(V32),ISTEXT(W32)),"t3?",IF(AND(ISBLANK(W32),ISBLANK(V32)),"",VLOOKUP(BJ32,Materialliste!$A$2:$B$1615,2,FALSE)))</f>
        <v/>
      </c>
      <c r="Y32" s="442"/>
      <c r="Z32" s="345" t="str">
        <f t="shared" si="0"/>
        <v>BLECH?</v>
      </c>
      <c r="AA32" s="346" t="str">
        <f t="shared" si="11"/>
        <v>?Re</v>
      </c>
      <c r="AB32" s="453" t="str">
        <f t="shared" si="12"/>
        <v>Klebstoff?</v>
      </c>
      <c r="AC32" s="347" t="str">
        <f t="shared" si="13"/>
        <v/>
      </c>
      <c r="AD32" s="322" t="str">
        <f t="shared" si="32"/>
        <v/>
      </c>
      <c r="AE32" s="348" t="str">
        <f t="shared" si="14"/>
        <v>Klebstoff?</v>
      </c>
      <c r="AF32" s="479" t="str">
        <f t="shared" si="15"/>
        <v/>
      </c>
      <c r="AG32" s="481" t="str">
        <f t="shared" si="16"/>
        <v/>
      </c>
      <c r="AH32" s="460" t="str">
        <f t="shared" si="2"/>
        <v/>
      </c>
      <c r="AI32" s="349" t="str">
        <f t="shared" si="17"/>
        <v/>
      </c>
      <c r="AJ32" s="349" t="str">
        <f t="shared" si="18"/>
        <v/>
      </c>
      <c r="AK32" s="349" t="str">
        <f t="shared" si="19"/>
        <v/>
      </c>
      <c r="AL32" s="350" t="str">
        <f t="shared" si="20"/>
        <v/>
      </c>
      <c r="AM32" s="695"/>
      <c r="AN32" s="696"/>
      <c r="AO32" s="351"/>
      <c r="AP32" s="503"/>
      <c r="AQ32" s="352"/>
      <c r="AR32" s="352"/>
      <c r="AS32" s="352"/>
      <c r="AT32" s="352"/>
      <c r="AU32" s="352"/>
      <c r="AV32" s="352"/>
      <c r="AW32" s="352"/>
      <c r="AX32" s="352"/>
      <c r="AY32" s="352"/>
      <c r="AZ32" s="352"/>
      <c r="BA32" s="352"/>
      <c r="BB32" s="353"/>
      <c r="BC32" s="282"/>
      <c r="BE32" s="282"/>
      <c r="BF32" s="352" t="str">
        <f t="shared" si="21"/>
        <v>Nein</v>
      </c>
      <c r="BH32" s="472">
        <f t="shared" si="3"/>
        <v>0</v>
      </c>
      <c r="BI32" s="472">
        <f t="shared" si="4"/>
        <v>0</v>
      </c>
      <c r="BJ32" s="472">
        <f t="shared" si="5"/>
        <v>0</v>
      </c>
      <c r="BM32" s="473">
        <f t="shared" si="6"/>
        <v>0</v>
      </c>
      <c r="BN32" s="474">
        <f t="shared" si="22"/>
        <v>0</v>
      </c>
      <c r="BO32" s="473">
        <f t="shared" si="7"/>
        <v>0</v>
      </c>
      <c r="BP32" s="473">
        <f t="shared" si="8"/>
        <v>0</v>
      </c>
      <c r="BQ32" s="473">
        <f t="shared" si="9"/>
        <v>0</v>
      </c>
      <c r="BR32" s="329"/>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0"/>
      <c r="CH32" s="306" t="str">
        <f t="shared" si="30"/>
        <v/>
      </c>
      <c r="CL32" s="306" t="str">
        <f t="shared" si="31"/>
        <v/>
      </c>
    </row>
    <row r="33" spans="1:90" ht="33" customHeight="1">
      <c r="A33" s="922"/>
      <c r="B33" s="281"/>
      <c r="C33" s="331"/>
      <c r="D33" s="332"/>
      <c r="E33" s="333"/>
      <c r="F33" s="334"/>
      <c r="G33" s="335"/>
      <c r="H33" s="336"/>
      <c r="I33" s="475"/>
      <c r="J33" s="337"/>
      <c r="K33" s="338"/>
      <c r="L33" s="339"/>
      <c r="M33" s="341"/>
      <c r="N33" s="341"/>
      <c r="O33" s="341"/>
      <c r="P33" s="318"/>
      <c r="Q33" s="319"/>
      <c r="R33" s="354" t="str">
        <f>IF(AND(ISBLANK(P33),ISTEXT(Q33)),"t1?",IF(AND(ISBLANK(Q33),ISBLANK(P33)),"",VLOOKUP(BH33,Materialliste!$A$2:$B$1615,2,FALSE)))</f>
        <v/>
      </c>
      <c r="S33" s="318"/>
      <c r="T33" s="319"/>
      <c r="U33" s="354" t="str">
        <f>IF(AND(ISBLANK(S33),ISTEXT(T33)),"t2?",IF(AND(ISBLANK(T33),ISBLANK(S33)),"",VLOOKUP(BI33,Materialliste!$A$2:$B$1615,2,FALSE)))</f>
        <v/>
      </c>
      <c r="V33" s="318"/>
      <c r="W33" s="355"/>
      <c r="X33" s="354" t="str">
        <f>IF(AND(ISBLANK(V33),ISTEXT(W33)),"t3?",IF(AND(ISBLANK(W33),ISBLANK(V33)),"",VLOOKUP(BJ33,Materialliste!$A$2:$B$1615,2,FALSE)))</f>
        <v/>
      </c>
      <c r="Y33" s="442"/>
      <c r="Z33" s="345" t="str">
        <f t="shared" si="0"/>
        <v>BLECH?</v>
      </c>
      <c r="AA33" s="346" t="str">
        <f t="shared" si="11"/>
        <v>?Re</v>
      </c>
      <c r="AB33" s="453" t="str">
        <f t="shared" si="12"/>
        <v>Klebstoff?</v>
      </c>
      <c r="AC33" s="347" t="str">
        <f t="shared" si="13"/>
        <v/>
      </c>
      <c r="AD33" s="322" t="str">
        <f t="shared" si="32"/>
        <v/>
      </c>
      <c r="AE33" s="348" t="str">
        <f t="shared" si="14"/>
        <v>Klebstoff?</v>
      </c>
      <c r="AF33" s="479" t="str">
        <f t="shared" si="15"/>
        <v/>
      </c>
      <c r="AG33" s="481" t="str">
        <f t="shared" si="16"/>
        <v/>
      </c>
      <c r="AH33" s="460" t="str">
        <f t="shared" si="2"/>
        <v/>
      </c>
      <c r="AI33" s="349" t="str">
        <f t="shared" si="17"/>
        <v/>
      </c>
      <c r="AJ33" s="349" t="str">
        <f t="shared" si="18"/>
        <v/>
      </c>
      <c r="AK33" s="349" t="str">
        <f t="shared" si="19"/>
        <v/>
      </c>
      <c r="AL33" s="350" t="str">
        <f t="shared" si="20"/>
        <v/>
      </c>
      <c r="AM33" s="695"/>
      <c r="AN33" s="696"/>
      <c r="AO33" s="351"/>
      <c r="AP33" s="503"/>
      <c r="AQ33" s="352"/>
      <c r="AR33" s="352"/>
      <c r="AS33" s="352"/>
      <c r="AT33" s="352"/>
      <c r="AU33" s="352"/>
      <c r="AV33" s="352"/>
      <c r="AW33" s="352"/>
      <c r="AX33" s="352"/>
      <c r="AY33" s="352"/>
      <c r="AZ33" s="352"/>
      <c r="BA33" s="352"/>
      <c r="BB33" s="353"/>
      <c r="BC33" s="282"/>
      <c r="BE33" s="282"/>
      <c r="BF33" s="352" t="str">
        <f t="shared" si="21"/>
        <v>Nein</v>
      </c>
      <c r="BH33" s="472">
        <f t="shared" si="3"/>
        <v>0</v>
      </c>
      <c r="BI33" s="472">
        <f t="shared" si="4"/>
        <v>0</v>
      </c>
      <c r="BJ33" s="472">
        <f t="shared" si="5"/>
        <v>0</v>
      </c>
      <c r="BM33" s="473">
        <f t="shared" si="6"/>
        <v>0</v>
      </c>
      <c r="BN33" s="474">
        <f t="shared" si="22"/>
        <v>0</v>
      </c>
      <c r="BO33" s="473">
        <f t="shared" si="7"/>
        <v>0</v>
      </c>
      <c r="BP33" s="473">
        <f t="shared" si="8"/>
        <v>0</v>
      </c>
      <c r="BQ33" s="473">
        <f t="shared" si="9"/>
        <v>0</v>
      </c>
      <c r="BR33" s="329"/>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0"/>
      <c r="CH33" s="306" t="str">
        <f t="shared" si="30"/>
        <v/>
      </c>
      <c r="CL33" s="306" t="str">
        <f t="shared" si="31"/>
        <v/>
      </c>
    </row>
    <row r="34" spans="1:90" ht="33" customHeight="1">
      <c r="A34" s="922"/>
      <c r="B34" s="281"/>
      <c r="C34" s="331"/>
      <c r="D34" s="332"/>
      <c r="E34" s="333"/>
      <c r="F34" s="334"/>
      <c r="G34" s="335"/>
      <c r="H34" s="336"/>
      <c r="I34" s="475"/>
      <c r="J34" s="337"/>
      <c r="K34" s="338"/>
      <c r="L34" s="339"/>
      <c r="M34" s="341"/>
      <c r="N34" s="341"/>
      <c r="O34" s="341"/>
      <c r="P34" s="318"/>
      <c r="Q34" s="319"/>
      <c r="R34" s="354" t="str">
        <f>IF(AND(ISBLANK(P34),ISTEXT(Q34)),"t1?",IF(AND(ISBLANK(Q34),ISBLANK(P34)),"",VLOOKUP(BH34,Materialliste!$A$2:$B$1615,2,FALSE)))</f>
        <v/>
      </c>
      <c r="S34" s="318"/>
      <c r="T34" s="319"/>
      <c r="U34" s="354" t="str">
        <f>IF(AND(ISBLANK(S34),ISTEXT(T34)),"t2?",IF(AND(ISBLANK(T34),ISBLANK(S34)),"",VLOOKUP(BI34,Materialliste!$A$2:$B$1615,2,FALSE)))</f>
        <v/>
      </c>
      <c r="V34" s="318"/>
      <c r="W34" s="355"/>
      <c r="X34" s="354" t="str">
        <f>IF(AND(ISBLANK(V34),ISTEXT(W34)),"t3?",IF(AND(ISBLANK(W34),ISBLANK(V34)),"",VLOOKUP(BJ34,Materialliste!$A$2:$B$1615,2,FALSE)))</f>
        <v/>
      </c>
      <c r="Y34" s="442"/>
      <c r="Z34" s="345" t="str">
        <f t="shared" si="0"/>
        <v>BLECH?</v>
      </c>
      <c r="AA34" s="346" t="str">
        <f t="shared" si="11"/>
        <v>?Re</v>
      </c>
      <c r="AB34" s="453" t="str">
        <f t="shared" si="12"/>
        <v>Klebstoff?</v>
      </c>
      <c r="AC34" s="347" t="str">
        <f t="shared" si="13"/>
        <v/>
      </c>
      <c r="AD34" s="322" t="str">
        <f t="shared" si="32"/>
        <v/>
      </c>
      <c r="AE34" s="348" t="str">
        <f t="shared" si="14"/>
        <v>Klebstoff?</v>
      </c>
      <c r="AF34" s="479" t="str">
        <f t="shared" si="15"/>
        <v/>
      </c>
      <c r="AG34" s="481" t="str">
        <f t="shared" si="16"/>
        <v/>
      </c>
      <c r="AH34" s="460" t="str">
        <f t="shared" si="2"/>
        <v/>
      </c>
      <c r="AI34" s="349" t="str">
        <f t="shared" si="17"/>
        <v/>
      </c>
      <c r="AJ34" s="349" t="str">
        <f t="shared" si="18"/>
        <v/>
      </c>
      <c r="AK34" s="349" t="str">
        <f t="shared" si="19"/>
        <v/>
      </c>
      <c r="AL34" s="350" t="str">
        <f t="shared" si="20"/>
        <v/>
      </c>
      <c r="AM34" s="695"/>
      <c r="AN34" s="696"/>
      <c r="AO34" s="351"/>
      <c r="AP34" s="503"/>
      <c r="AQ34" s="352"/>
      <c r="AR34" s="352"/>
      <c r="AS34" s="352"/>
      <c r="AT34" s="352"/>
      <c r="AU34" s="352"/>
      <c r="AV34" s="352"/>
      <c r="AW34" s="352"/>
      <c r="AX34" s="352"/>
      <c r="AY34" s="352"/>
      <c r="AZ34" s="352"/>
      <c r="BA34" s="352"/>
      <c r="BB34" s="353"/>
      <c r="BC34" s="282"/>
      <c r="BE34" s="282"/>
      <c r="BF34" s="352" t="str">
        <f t="shared" si="21"/>
        <v>Nein</v>
      </c>
      <c r="BH34" s="472">
        <f t="shared" si="3"/>
        <v>0</v>
      </c>
      <c r="BI34" s="472">
        <f t="shared" si="4"/>
        <v>0</v>
      </c>
      <c r="BJ34" s="472">
        <f t="shared" si="5"/>
        <v>0</v>
      </c>
      <c r="BM34" s="473">
        <f t="shared" si="6"/>
        <v>0</v>
      </c>
      <c r="BN34" s="474">
        <f t="shared" si="22"/>
        <v>0</v>
      </c>
      <c r="BO34" s="473">
        <f t="shared" si="7"/>
        <v>0</v>
      </c>
      <c r="BP34" s="473">
        <f t="shared" si="8"/>
        <v>0</v>
      </c>
      <c r="BQ34" s="473">
        <f t="shared" si="9"/>
        <v>0</v>
      </c>
      <c r="BR34" s="329"/>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0"/>
      <c r="CH34" s="306" t="str">
        <f t="shared" si="30"/>
        <v/>
      </c>
      <c r="CL34" s="306" t="str">
        <f t="shared" si="31"/>
        <v/>
      </c>
    </row>
    <row r="35" spans="1:90" ht="33" customHeight="1">
      <c r="A35" s="922"/>
      <c r="B35" s="281"/>
      <c r="C35" s="331"/>
      <c r="D35" s="332"/>
      <c r="E35" s="333"/>
      <c r="F35" s="334"/>
      <c r="G35" s="335"/>
      <c r="H35" s="336"/>
      <c r="I35" s="475"/>
      <c r="J35" s="337"/>
      <c r="K35" s="338"/>
      <c r="L35" s="339"/>
      <c r="M35" s="341"/>
      <c r="N35" s="341"/>
      <c r="O35" s="341"/>
      <c r="P35" s="318"/>
      <c r="Q35" s="319"/>
      <c r="R35" s="354" t="str">
        <f>IF(AND(ISBLANK(P35),ISTEXT(Q35)),"t1?",IF(AND(ISBLANK(Q35),ISBLANK(P35)),"",VLOOKUP(BH35,Materialliste!$A$2:$B$1615,2,FALSE)))</f>
        <v/>
      </c>
      <c r="S35" s="318"/>
      <c r="T35" s="319"/>
      <c r="U35" s="354" t="str">
        <f>IF(AND(ISBLANK(S35),ISTEXT(T35)),"t2?",IF(AND(ISBLANK(T35),ISBLANK(S35)),"",VLOOKUP(BI35,Materialliste!$A$2:$B$1615,2,FALSE)))</f>
        <v/>
      </c>
      <c r="V35" s="318"/>
      <c r="W35" s="355"/>
      <c r="X35" s="354" t="str">
        <f>IF(AND(ISBLANK(V35),ISTEXT(W35)),"t3?",IF(AND(ISBLANK(W35),ISBLANK(V35)),"",VLOOKUP(BJ35,Materialliste!$A$2:$B$1615,2,FALSE)))</f>
        <v/>
      </c>
      <c r="Y35" s="442"/>
      <c r="Z35" s="345" t="str">
        <f t="shared" si="0"/>
        <v>BLECH?</v>
      </c>
      <c r="AA35" s="346" t="str">
        <f t="shared" si="11"/>
        <v>?Re</v>
      </c>
      <c r="AB35" s="453" t="str">
        <f t="shared" si="12"/>
        <v>Klebstoff?</v>
      </c>
      <c r="AC35" s="347" t="str">
        <f t="shared" si="13"/>
        <v/>
      </c>
      <c r="AD35" s="322" t="str">
        <f t="shared" si="32"/>
        <v/>
      </c>
      <c r="AE35" s="348" t="str">
        <f t="shared" si="14"/>
        <v>Klebstoff?</v>
      </c>
      <c r="AF35" s="479" t="str">
        <f t="shared" si="15"/>
        <v/>
      </c>
      <c r="AG35" s="481" t="str">
        <f t="shared" si="16"/>
        <v/>
      </c>
      <c r="AH35" s="460" t="str">
        <f t="shared" si="2"/>
        <v/>
      </c>
      <c r="AI35" s="349" t="str">
        <f t="shared" si="17"/>
        <v/>
      </c>
      <c r="AJ35" s="349" t="str">
        <f t="shared" si="18"/>
        <v/>
      </c>
      <c r="AK35" s="349" t="str">
        <f t="shared" si="19"/>
        <v/>
      </c>
      <c r="AL35" s="350" t="str">
        <f t="shared" si="20"/>
        <v/>
      </c>
      <c r="AM35" s="695"/>
      <c r="AN35" s="696"/>
      <c r="AO35" s="351"/>
      <c r="AP35" s="503"/>
      <c r="AQ35" s="352"/>
      <c r="AR35" s="352"/>
      <c r="AS35" s="352"/>
      <c r="AT35" s="352"/>
      <c r="AU35" s="352"/>
      <c r="AV35" s="352"/>
      <c r="AW35" s="352"/>
      <c r="AX35" s="352"/>
      <c r="AY35" s="352"/>
      <c r="AZ35" s="352"/>
      <c r="BA35" s="352"/>
      <c r="BB35" s="353"/>
      <c r="BC35" s="282"/>
      <c r="BE35" s="282"/>
      <c r="BF35" s="352" t="str">
        <f t="shared" si="21"/>
        <v>Nein</v>
      </c>
      <c r="BH35" s="472">
        <f t="shared" si="3"/>
        <v>0</v>
      </c>
      <c r="BI35" s="472">
        <f t="shared" si="4"/>
        <v>0</v>
      </c>
      <c r="BJ35" s="472">
        <f t="shared" si="5"/>
        <v>0</v>
      </c>
      <c r="BM35" s="473">
        <f t="shared" si="6"/>
        <v>0</v>
      </c>
      <c r="BN35" s="474">
        <f t="shared" si="22"/>
        <v>0</v>
      </c>
      <c r="BO35" s="473">
        <f t="shared" si="7"/>
        <v>0</v>
      </c>
      <c r="BP35" s="473">
        <f t="shared" si="8"/>
        <v>0</v>
      </c>
      <c r="BQ35" s="473">
        <f t="shared" si="9"/>
        <v>0</v>
      </c>
      <c r="BR35" s="329"/>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0"/>
      <c r="CH35" s="306" t="str">
        <f t="shared" si="30"/>
        <v/>
      </c>
      <c r="CL35" s="306" t="str">
        <f t="shared" si="31"/>
        <v/>
      </c>
    </row>
    <row r="36" spans="1:90" ht="33" customHeight="1">
      <c r="A36" s="922"/>
      <c r="B36" s="281"/>
      <c r="C36" s="331"/>
      <c r="D36" s="332"/>
      <c r="E36" s="333"/>
      <c r="F36" s="334"/>
      <c r="G36" s="335"/>
      <c r="H36" s="336"/>
      <c r="I36" s="475"/>
      <c r="J36" s="337"/>
      <c r="K36" s="338"/>
      <c r="L36" s="339"/>
      <c r="M36" s="341"/>
      <c r="N36" s="341"/>
      <c r="O36" s="341"/>
      <c r="P36" s="318"/>
      <c r="Q36" s="319"/>
      <c r="R36" s="354" t="str">
        <f>IF(AND(ISBLANK(P36),ISTEXT(Q36)),"t1?",IF(AND(ISBLANK(Q36),ISBLANK(P36)),"",VLOOKUP(BH36,Materialliste!$A$2:$B$1615,2,FALSE)))</f>
        <v/>
      </c>
      <c r="S36" s="318"/>
      <c r="T36" s="319"/>
      <c r="U36" s="354" t="str">
        <f>IF(AND(ISBLANK(S36),ISTEXT(T36)),"t2?",IF(AND(ISBLANK(T36),ISBLANK(S36)),"",VLOOKUP(BI36,Materialliste!$A$2:$B$1615,2,FALSE)))</f>
        <v/>
      </c>
      <c r="V36" s="318"/>
      <c r="W36" s="355"/>
      <c r="X36" s="354" t="str">
        <f>IF(AND(ISBLANK(V36),ISTEXT(W36)),"t3?",IF(AND(ISBLANK(W36),ISBLANK(V36)),"",VLOOKUP(BJ36,Materialliste!$A$2:$B$1615,2,FALSE)))</f>
        <v/>
      </c>
      <c r="Y36" s="442"/>
      <c r="Z36" s="345" t="str">
        <f t="shared" si="0"/>
        <v>BLECH?</v>
      </c>
      <c r="AA36" s="346" t="str">
        <f t="shared" si="11"/>
        <v>?Re</v>
      </c>
      <c r="AB36" s="453" t="str">
        <f t="shared" si="12"/>
        <v>Klebstoff?</v>
      </c>
      <c r="AC36" s="347" t="str">
        <f t="shared" si="13"/>
        <v/>
      </c>
      <c r="AD36" s="322" t="str">
        <f t="shared" si="32"/>
        <v/>
      </c>
      <c r="AE36" s="348" t="str">
        <f t="shared" si="14"/>
        <v>Klebstoff?</v>
      </c>
      <c r="AF36" s="479" t="str">
        <f t="shared" si="15"/>
        <v/>
      </c>
      <c r="AG36" s="481" t="str">
        <f t="shared" si="16"/>
        <v/>
      </c>
      <c r="AH36" s="460" t="str">
        <f t="shared" si="2"/>
        <v/>
      </c>
      <c r="AI36" s="349" t="str">
        <f t="shared" si="17"/>
        <v/>
      </c>
      <c r="AJ36" s="349" t="str">
        <f t="shared" si="18"/>
        <v/>
      </c>
      <c r="AK36" s="349" t="str">
        <f t="shared" si="19"/>
        <v/>
      </c>
      <c r="AL36" s="350" t="str">
        <f t="shared" si="20"/>
        <v/>
      </c>
      <c r="AM36" s="695"/>
      <c r="AN36" s="696"/>
      <c r="AO36" s="351"/>
      <c r="AP36" s="503"/>
      <c r="AQ36" s="352"/>
      <c r="AR36" s="352"/>
      <c r="AS36" s="352"/>
      <c r="AT36" s="352"/>
      <c r="AU36" s="352"/>
      <c r="AV36" s="352"/>
      <c r="AW36" s="352"/>
      <c r="AX36" s="352"/>
      <c r="AY36" s="352"/>
      <c r="AZ36" s="352"/>
      <c r="BA36" s="352"/>
      <c r="BB36" s="353"/>
      <c r="BC36" s="282"/>
      <c r="BE36" s="282"/>
      <c r="BF36" s="352" t="str">
        <f t="shared" si="21"/>
        <v>Nein</v>
      </c>
      <c r="BH36" s="472">
        <f t="shared" si="3"/>
        <v>0</v>
      </c>
      <c r="BI36" s="472">
        <f t="shared" si="4"/>
        <v>0</v>
      </c>
      <c r="BJ36" s="472">
        <f t="shared" si="5"/>
        <v>0</v>
      </c>
      <c r="BM36" s="473">
        <f t="shared" si="6"/>
        <v>0</v>
      </c>
      <c r="BN36" s="474">
        <f t="shared" si="22"/>
        <v>0</v>
      </c>
      <c r="BO36" s="473">
        <f t="shared" si="7"/>
        <v>0</v>
      </c>
      <c r="BP36" s="473">
        <f t="shared" si="8"/>
        <v>0</v>
      </c>
      <c r="BQ36" s="473">
        <f t="shared" si="9"/>
        <v>0</v>
      </c>
      <c r="BR36" s="329"/>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0"/>
      <c r="CH36" s="306" t="str">
        <f t="shared" si="30"/>
        <v/>
      </c>
      <c r="CL36" s="306" t="str">
        <f t="shared" si="31"/>
        <v/>
      </c>
    </row>
    <row r="37" spans="1:90" ht="33" customHeight="1">
      <c r="A37" s="922"/>
      <c r="B37" s="281"/>
      <c r="C37" s="331"/>
      <c r="D37" s="332"/>
      <c r="E37" s="333"/>
      <c r="F37" s="334"/>
      <c r="G37" s="335"/>
      <c r="H37" s="336"/>
      <c r="I37" s="475"/>
      <c r="J37" s="337"/>
      <c r="K37" s="338"/>
      <c r="L37" s="339"/>
      <c r="M37" s="341"/>
      <c r="N37" s="341"/>
      <c r="O37" s="341"/>
      <c r="P37" s="318"/>
      <c r="Q37" s="319"/>
      <c r="R37" s="354" t="str">
        <f>IF(AND(ISBLANK(P37),ISTEXT(Q37)),"t1?",IF(AND(ISBLANK(Q37),ISBLANK(P37)),"",VLOOKUP(BH37,Materialliste!$A$2:$B$1615,2,FALSE)))</f>
        <v/>
      </c>
      <c r="S37" s="318"/>
      <c r="T37" s="319"/>
      <c r="U37" s="354" t="str">
        <f>IF(AND(ISBLANK(S37),ISTEXT(T37)),"t2?",IF(AND(ISBLANK(T37),ISBLANK(S37)),"",VLOOKUP(BI37,Materialliste!$A$2:$B$1615,2,FALSE)))</f>
        <v/>
      </c>
      <c r="V37" s="318"/>
      <c r="W37" s="355"/>
      <c r="X37" s="354" t="str">
        <f>IF(AND(ISBLANK(V37),ISTEXT(W37)),"t3?",IF(AND(ISBLANK(W37),ISBLANK(V37)),"",VLOOKUP(BJ37,Materialliste!$A$2:$B$1615,2,FALSE)))</f>
        <v/>
      </c>
      <c r="Y37" s="442"/>
      <c r="Z37" s="345" t="str">
        <f t="shared" si="0"/>
        <v>BLECH?</v>
      </c>
      <c r="AA37" s="346" t="str">
        <f t="shared" si="11"/>
        <v>?Re</v>
      </c>
      <c r="AB37" s="453" t="str">
        <f t="shared" si="12"/>
        <v>Klebstoff?</v>
      </c>
      <c r="AC37" s="347" t="str">
        <f t="shared" si="13"/>
        <v/>
      </c>
      <c r="AD37" s="322" t="str">
        <f t="shared" si="32"/>
        <v/>
      </c>
      <c r="AE37" s="348" t="str">
        <f t="shared" si="14"/>
        <v>Klebstoff?</v>
      </c>
      <c r="AF37" s="479" t="str">
        <f t="shared" si="15"/>
        <v/>
      </c>
      <c r="AG37" s="481" t="str">
        <f t="shared" si="16"/>
        <v/>
      </c>
      <c r="AH37" s="460" t="str">
        <f t="shared" si="2"/>
        <v/>
      </c>
      <c r="AI37" s="349" t="str">
        <f t="shared" si="17"/>
        <v/>
      </c>
      <c r="AJ37" s="349" t="str">
        <f t="shared" si="18"/>
        <v/>
      </c>
      <c r="AK37" s="349" t="str">
        <f t="shared" si="19"/>
        <v/>
      </c>
      <c r="AL37" s="350" t="str">
        <f t="shared" si="20"/>
        <v/>
      </c>
      <c r="AM37" s="695"/>
      <c r="AN37" s="696"/>
      <c r="AO37" s="351"/>
      <c r="AP37" s="503"/>
      <c r="AQ37" s="352"/>
      <c r="AR37" s="352"/>
      <c r="AS37" s="352"/>
      <c r="AT37" s="352"/>
      <c r="AU37" s="352"/>
      <c r="AV37" s="352"/>
      <c r="AW37" s="352"/>
      <c r="AX37" s="352"/>
      <c r="AY37" s="352"/>
      <c r="AZ37" s="352"/>
      <c r="BA37" s="352"/>
      <c r="BB37" s="353"/>
      <c r="BC37" s="282"/>
      <c r="BE37" s="282"/>
      <c r="BF37" s="352" t="str">
        <f t="shared" si="21"/>
        <v>Nein</v>
      </c>
      <c r="BH37" s="472">
        <f t="shared" si="3"/>
        <v>0</v>
      </c>
      <c r="BI37" s="472">
        <f t="shared" si="4"/>
        <v>0</v>
      </c>
      <c r="BJ37" s="472">
        <f t="shared" si="5"/>
        <v>0</v>
      </c>
      <c r="BM37" s="473">
        <f t="shared" si="6"/>
        <v>0</v>
      </c>
      <c r="BN37" s="474">
        <f t="shared" si="22"/>
        <v>0</v>
      </c>
      <c r="BO37" s="473">
        <f t="shared" si="7"/>
        <v>0</v>
      </c>
      <c r="BP37" s="473">
        <f t="shared" si="8"/>
        <v>0</v>
      </c>
      <c r="BQ37" s="473">
        <f t="shared" si="9"/>
        <v>0</v>
      </c>
      <c r="BR37" s="329"/>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0"/>
      <c r="CH37" s="306" t="str">
        <f t="shared" si="30"/>
        <v/>
      </c>
      <c r="CL37" s="306" t="str">
        <f t="shared" si="31"/>
        <v/>
      </c>
    </row>
    <row r="38" spans="1:90" ht="33" customHeight="1">
      <c r="A38" s="922"/>
      <c r="B38" s="281"/>
      <c r="C38" s="331"/>
      <c r="D38" s="332"/>
      <c r="E38" s="333"/>
      <c r="F38" s="334"/>
      <c r="G38" s="335"/>
      <c r="H38" s="336"/>
      <c r="I38" s="475"/>
      <c r="J38" s="337"/>
      <c r="K38" s="338"/>
      <c r="L38" s="339"/>
      <c r="M38" s="341"/>
      <c r="N38" s="341"/>
      <c r="O38" s="341"/>
      <c r="P38" s="318"/>
      <c r="Q38" s="319"/>
      <c r="R38" s="354" t="str">
        <f>IF(AND(ISBLANK(P38),ISTEXT(Q38)),"t1?",IF(AND(ISBLANK(Q38),ISBLANK(P38)),"",VLOOKUP(BH38,Materialliste!$A$2:$B$1615,2,FALSE)))</f>
        <v/>
      </c>
      <c r="S38" s="318"/>
      <c r="T38" s="319"/>
      <c r="U38" s="354" t="str">
        <f>IF(AND(ISBLANK(S38),ISTEXT(T38)),"t2?",IF(AND(ISBLANK(T38),ISBLANK(S38)),"",VLOOKUP(BI38,Materialliste!$A$2:$B$1615,2,FALSE)))</f>
        <v/>
      </c>
      <c r="V38" s="318"/>
      <c r="W38" s="355"/>
      <c r="X38" s="354" t="str">
        <f>IF(AND(ISBLANK(V38),ISTEXT(W38)),"t3?",IF(AND(ISBLANK(W38),ISBLANK(V38)),"",VLOOKUP(BJ38,Materialliste!$A$2:$B$1615,2,FALSE)))</f>
        <v/>
      </c>
      <c r="Y38" s="442"/>
      <c r="Z38" s="345" t="str">
        <f t="shared" si="0"/>
        <v>BLECH?</v>
      </c>
      <c r="AA38" s="346" t="str">
        <f t="shared" si="11"/>
        <v>?Re</v>
      </c>
      <c r="AB38" s="453" t="str">
        <f t="shared" si="12"/>
        <v>Klebstoff?</v>
      </c>
      <c r="AC38" s="347" t="str">
        <f t="shared" si="13"/>
        <v/>
      </c>
      <c r="AD38" s="322" t="str">
        <f t="shared" si="32"/>
        <v/>
      </c>
      <c r="AE38" s="348" t="str">
        <f t="shared" si="14"/>
        <v>Klebstoff?</v>
      </c>
      <c r="AF38" s="479" t="str">
        <f t="shared" si="15"/>
        <v/>
      </c>
      <c r="AG38" s="481" t="str">
        <f t="shared" si="16"/>
        <v/>
      </c>
      <c r="AH38" s="460" t="str">
        <f t="shared" si="2"/>
        <v/>
      </c>
      <c r="AI38" s="349" t="str">
        <f t="shared" si="17"/>
        <v/>
      </c>
      <c r="AJ38" s="349" t="str">
        <f t="shared" si="18"/>
        <v/>
      </c>
      <c r="AK38" s="349" t="str">
        <f t="shared" si="19"/>
        <v/>
      </c>
      <c r="AL38" s="350" t="str">
        <f t="shared" si="20"/>
        <v/>
      </c>
      <c r="AM38" s="695"/>
      <c r="AN38" s="696"/>
      <c r="AO38" s="351"/>
      <c r="AP38" s="503"/>
      <c r="AQ38" s="352"/>
      <c r="AR38" s="352"/>
      <c r="AS38" s="352"/>
      <c r="AT38" s="352"/>
      <c r="AU38" s="352"/>
      <c r="AV38" s="352"/>
      <c r="AW38" s="352"/>
      <c r="AX38" s="352"/>
      <c r="AY38" s="352"/>
      <c r="AZ38" s="352"/>
      <c r="BA38" s="352"/>
      <c r="BB38" s="353"/>
      <c r="BC38" s="282"/>
      <c r="BE38" s="282"/>
      <c r="BF38" s="352" t="str">
        <f t="shared" si="21"/>
        <v>Nein</v>
      </c>
      <c r="BH38" s="472">
        <f t="shared" si="3"/>
        <v>0</v>
      </c>
      <c r="BI38" s="472">
        <f t="shared" si="4"/>
        <v>0</v>
      </c>
      <c r="BJ38" s="472">
        <f t="shared" si="5"/>
        <v>0</v>
      </c>
      <c r="BM38" s="473">
        <f t="shared" si="6"/>
        <v>0</v>
      </c>
      <c r="BN38" s="474">
        <f t="shared" si="22"/>
        <v>0</v>
      </c>
      <c r="BO38" s="473">
        <f t="shared" si="7"/>
        <v>0</v>
      </c>
      <c r="BP38" s="473">
        <f t="shared" si="8"/>
        <v>0</v>
      </c>
      <c r="BQ38" s="473">
        <f t="shared" si="9"/>
        <v>0</v>
      </c>
      <c r="BR38" s="329"/>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0"/>
      <c r="CH38" s="306" t="str">
        <f t="shared" si="30"/>
        <v/>
      </c>
      <c r="CL38" s="306" t="str">
        <f t="shared" si="31"/>
        <v/>
      </c>
    </row>
    <row r="39" spans="1:90" ht="33" customHeight="1">
      <c r="A39" s="922"/>
      <c r="B39" s="281"/>
      <c r="C39" s="331"/>
      <c r="D39" s="332"/>
      <c r="E39" s="333"/>
      <c r="F39" s="334"/>
      <c r="G39" s="335"/>
      <c r="H39" s="336"/>
      <c r="I39" s="475"/>
      <c r="J39" s="337"/>
      <c r="K39" s="338"/>
      <c r="L39" s="339"/>
      <c r="M39" s="341"/>
      <c r="N39" s="341"/>
      <c r="O39" s="341"/>
      <c r="P39" s="318"/>
      <c r="Q39" s="319"/>
      <c r="R39" s="354" t="str">
        <f>IF(AND(ISBLANK(P39),ISTEXT(Q39)),"t1?",IF(AND(ISBLANK(Q39),ISBLANK(P39)),"",VLOOKUP(BH39,Materialliste!$A$2:$B$1615,2,FALSE)))</f>
        <v/>
      </c>
      <c r="S39" s="318"/>
      <c r="T39" s="319"/>
      <c r="U39" s="354" t="str">
        <f>IF(AND(ISBLANK(S39),ISTEXT(T39)),"t2?",IF(AND(ISBLANK(T39),ISBLANK(S39)),"",VLOOKUP(BI39,Materialliste!$A$2:$B$1615,2,FALSE)))</f>
        <v/>
      </c>
      <c r="V39" s="318"/>
      <c r="W39" s="355"/>
      <c r="X39" s="354" t="str">
        <f>IF(AND(ISBLANK(V39),ISTEXT(W39)),"t3?",IF(AND(ISBLANK(W39),ISBLANK(V39)),"",VLOOKUP(BJ39,Materialliste!$A$2:$B$1615,2,FALSE)))</f>
        <v/>
      </c>
      <c r="Y39" s="442"/>
      <c r="Z39" s="345" t="str">
        <f t="shared" si="0"/>
        <v>BLECH?</v>
      </c>
      <c r="AA39" s="346" t="str">
        <f t="shared" si="11"/>
        <v>?Re</v>
      </c>
      <c r="AB39" s="453" t="str">
        <f t="shared" si="12"/>
        <v>Klebstoff?</v>
      </c>
      <c r="AC39" s="347" t="str">
        <f t="shared" si="13"/>
        <v/>
      </c>
      <c r="AD39" s="322" t="str">
        <f t="shared" si="32"/>
        <v/>
      </c>
      <c r="AE39" s="348" t="str">
        <f t="shared" si="14"/>
        <v>Klebstoff?</v>
      </c>
      <c r="AF39" s="479" t="str">
        <f t="shared" si="15"/>
        <v/>
      </c>
      <c r="AG39" s="481" t="str">
        <f t="shared" si="16"/>
        <v/>
      </c>
      <c r="AH39" s="460" t="str">
        <f t="shared" si="2"/>
        <v/>
      </c>
      <c r="AI39" s="349" t="str">
        <f t="shared" si="17"/>
        <v/>
      </c>
      <c r="AJ39" s="349" t="str">
        <f t="shared" si="18"/>
        <v/>
      </c>
      <c r="AK39" s="349" t="str">
        <f t="shared" si="19"/>
        <v/>
      </c>
      <c r="AL39" s="350" t="str">
        <f t="shared" si="20"/>
        <v/>
      </c>
      <c r="AM39" s="695"/>
      <c r="AN39" s="696"/>
      <c r="AO39" s="351"/>
      <c r="AP39" s="503"/>
      <c r="AQ39" s="352"/>
      <c r="AR39" s="352"/>
      <c r="AS39" s="352"/>
      <c r="AT39" s="352"/>
      <c r="AU39" s="352"/>
      <c r="AV39" s="352"/>
      <c r="AW39" s="352"/>
      <c r="AX39" s="352"/>
      <c r="AY39" s="352"/>
      <c r="AZ39" s="352"/>
      <c r="BA39" s="352"/>
      <c r="BB39" s="353"/>
      <c r="BC39" s="282"/>
      <c r="BE39" s="282"/>
      <c r="BF39" s="352" t="str">
        <f t="shared" si="21"/>
        <v>Nein</v>
      </c>
      <c r="BH39" s="472">
        <f t="shared" si="3"/>
        <v>0</v>
      </c>
      <c r="BI39" s="472">
        <f t="shared" si="4"/>
        <v>0</v>
      </c>
      <c r="BJ39" s="472">
        <f t="shared" si="5"/>
        <v>0</v>
      </c>
      <c r="BM39" s="473">
        <f t="shared" si="6"/>
        <v>0</v>
      </c>
      <c r="BN39" s="474">
        <f t="shared" si="22"/>
        <v>0</v>
      </c>
      <c r="BO39" s="473">
        <f t="shared" si="7"/>
        <v>0</v>
      </c>
      <c r="BP39" s="473">
        <f t="shared" si="8"/>
        <v>0</v>
      </c>
      <c r="BQ39" s="473">
        <f t="shared" si="9"/>
        <v>0</v>
      </c>
      <c r="BR39" s="329"/>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0"/>
      <c r="CH39" s="306" t="str">
        <f t="shared" si="30"/>
        <v/>
      </c>
      <c r="CL39" s="306" t="str">
        <f t="shared" si="31"/>
        <v/>
      </c>
    </row>
    <row r="40" spans="1:90" ht="33" customHeight="1">
      <c r="A40" s="922"/>
      <c r="B40" s="281"/>
      <c r="C40" s="331"/>
      <c r="D40" s="332"/>
      <c r="E40" s="333"/>
      <c r="F40" s="334"/>
      <c r="G40" s="335"/>
      <c r="H40" s="336"/>
      <c r="I40" s="475"/>
      <c r="J40" s="337"/>
      <c r="K40" s="338"/>
      <c r="L40" s="339"/>
      <c r="M40" s="341"/>
      <c r="N40" s="341"/>
      <c r="O40" s="341"/>
      <c r="P40" s="318"/>
      <c r="Q40" s="355"/>
      <c r="R40" s="354" t="str">
        <f>IF(AND(ISBLANK(P40),ISTEXT(Q40)),"t1?",IF(AND(ISBLANK(Q40),ISBLANK(P40)),"",VLOOKUP(BH40,Materialliste!$A$2:$B$1615,2,FALSE)))</f>
        <v/>
      </c>
      <c r="S40" s="318"/>
      <c r="T40" s="355"/>
      <c r="U40" s="354" t="str">
        <f>IF(AND(ISBLANK(S40),ISTEXT(T40)),"t2?",IF(AND(ISBLANK(T40),ISBLANK(S40)),"",VLOOKUP(BI40,Materialliste!$A$2:$B$1615,2,FALSE)))</f>
        <v/>
      </c>
      <c r="V40" s="318"/>
      <c r="W40" s="355"/>
      <c r="X40" s="354" t="str">
        <f>IF(AND(ISBLANK(V40),ISTEXT(W40)),"t3?",IF(AND(ISBLANK(W40),ISBLANK(V40)),"",VLOOKUP(BJ40,Materialliste!$A$2:$B$1615,2,FALSE)))</f>
        <v/>
      </c>
      <c r="Y40" s="442"/>
      <c r="Z40" s="345" t="str">
        <f t="shared" si="0"/>
        <v>BLECH?</v>
      </c>
      <c r="AA40" s="346" t="str">
        <f t="shared" si="11"/>
        <v>?Re</v>
      </c>
      <c r="AB40" s="453" t="str">
        <f t="shared" si="12"/>
        <v>Klebstoff?</v>
      </c>
      <c r="AC40" s="347" t="str">
        <f t="shared" si="13"/>
        <v/>
      </c>
      <c r="AD40" s="322" t="str">
        <f t="shared" si="32"/>
        <v/>
      </c>
      <c r="AE40" s="348" t="str">
        <f t="shared" si="14"/>
        <v>Klebstoff?</v>
      </c>
      <c r="AF40" s="479" t="str">
        <f t="shared" si="15"/>
        <v/>
      </c>
      <c r="AG40" s="481" t="str">
        <f t="shared" si="16"/>
        <v/>
      </c>
      <c r="AH40" s="460" t="str">
        <f t="shared" si="2"/>
        <v/>
      </c>
      <c r="AI40" s="349" t="str">
        <f t="shared" si="17"/>
        <v/>
      </c>
      <c r="AJ40" s="349" t="str">
        <f t="shared" si="18"/>
        <v/>
      </c>
      <c r="AK40" s="349" t="str">
        <f t="shared" si="19"/>
        <v/>
      </c>
      <c r="AL40" s="350" t="str">
        <f t="shared" si="20"/>
        <v/>
      </c>
      <c r="AM40" s="695"/>
      <c r="AN40" s="696"/>
      <c r="AO40" s="351"/>
      <c r="AP40" s="503"/>
      <c r="AQ40" s="352"/>
      <c r="AR40" s="352"/>
      <c r="AS40" s="352"/>
      <c r="AT40" s="352"/>
      <c r="AU40" s="352"/>
      <c r="AV40" s="352"/>
      <c r="AW40" s="352"/>
      <c r="AX40" s="352"/>
      <c r="AY40" s="352"/>
      <c r="AZ40" s="352"/>
      <c r="BA40" s="352"/>
      <c r="BB40" s="353"/>
      <c r="BC40" s="282"/>
      <c r="BE40" s="282"/>
      <c r="BF40" s="352" t="str">
        <f t="shared" si="21"/>
        <v>Nein</v>
      </c>
      <c r="BH40" s="472">
        <f t="shared" si="3"/>
        <v>0</v>
      </c>
      <c r="BI40" s="472">
        <f t="shared" si="4"/>
        <v>0</v>
      </c>
      <c r="BJ40" s="472">
        <f t="shared" si="5"/>
        <v>0</v>
      </c>
      <c r="BM40" s="473">
        <f t="shared" si="6"/>
        <v>0</v>
      </c>
      <c r="BN40" s="474">
        <f t="shared" si="22"/>
        <v>0</v>
      </c>
      <c r="BO40" s="473">
        <f t="shared" si="7"/>
        <v>0</v>
      </c>
      <c r="BP40" s="473">
        <f t="shared" si="8"/>
        <v>0</v>
      </c>
      <c r="BQ40" s="473">
        <f t="shared" si="9"/>
        <v>0</v>
      </c>
      <c r="BR40" s="329"/>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0"/>
      <c r="CH40" s="306" t="str">
        <f t="shared" si="30"/>
        <v/>
      </c>
      <c r="CL40" s="306" t="str">
        <f t="shared" si="31"/>
        <v/>
      </c>
    </row>
    <row r="41" spans="1:90" ht="33" customHeight="1">
      <c r="A41" s="922"/>
      <c r="B41" s="281"/>
      <c r="C41" s="331"/>
      <c r="D41" s="332"/>
      <c r="E41" s="333"/>
      <c r="F41" s="334"/>
      <c r="G41" s="335"/>
      <c r="H41" s="336"/>
      <c r="I41" s="475"/>
      <c r="J41" s="337"/>
      <c r="K41" s="338"/>
      <c r="L41" s="339"/>
      <c r="M41" s="341"/>
      <c r="N41" s="341"/>
      <c r="O41" s="341"/>
      <c r="P41" s="318"/>
      <c r="Q41" s="355"/>
      <c r="R41" s="354" t="str">
        <f>IF(AND(ISBLANK(P41),ISTEXT(Q41)),"t1?",IF(AND(ISBLANK(Q41),ISBLANK(P41)),"",VLOOKUP(BH41,Materialliste!$A$2:$B$1615,2,FALSE)))</f>
        <v/>
      </c>
      <c r="S41" s="318"/>
      <c r="T41" s="355"/>
      <c r="U41" s="354" t="str">
        <f>IF(AND(ISBLANK(S41),ISTEXT(T41)),"t2?",IF(AND(ISBLANK(T41),ISBLANK(S41)),"",VLOOKUP(BI41,Materialliste!$A$2:$B$1615,2,FALSE)))</f>
        <v/>
      </c>
      <c r="V41" s="318"/>
      <c r="W41" s="355"/>
      <c r="X41" s="354" t="str">
        <f>IF(AND(ISBLANK(V41),ISTEXT(W41)),"t3?",IF(AND(ISBLANK(W41),ISBLANK(V41)),"",VLOOKUP(BJ41,Materialliste!$A$2:$B$1615,2,FALSE)))</f>
        <v/>
      </c>
      <c r="Y41" s="442"/>
      <c r="Z41" s="345" t="str">
        <f t="shared" si="0"/>
        <v>BLECH?</v>
      </c>
      <c r="AA41" s="346" t="str">
        <f t="shared" si="11"/>
        <v>?Re</v>
      </c>
      <c r="AB41" s="453" t="str">
        <f t="shared" si="12"/>
        <v>Klebstoff?</v>
      </c>
      <c r="AC41" s="347" t="str">
        <f t="shared" si="13"/>
        <v/>
      </c>
      <c r="AD41" s="322" t="str">
        <f t="shared" si="32"/>
        <v/>
      </c>
      <c r="AE41" s="348" t="str">
        <f t="shared" si="14"/>
        <v>Klebstoff?</v>
      </c>
      <c r="AF41" s="479" t="str">
        <f t="shared" si="15"/>
        <v/>
      </c>
      <c r="AG41" s="481" t="str">
        <f t="shared" si="16"/>
        <v/>
      </c>
      <c r="AH41" s="460" t="str">
        <f t="shared" si="2"/>
        <v/>
      </c>
      <c r="AI41" s="349" t="str">
        <f t="shared" si="17"/>
        <v/>
      </c>
      <c r="AJ41" s="349" t="str">
        <f t="shared" si="18"/>
        <v/>
      </c>
      <c r="AK41" s="349" t="str">
        <f t="shared" si="19"/>
        <v/>
      </c>
      <c r="AL41" s="350" t="str">
        <f t="shared" si="20"/>
        <v/>
      </c>
      <c r="AM41" s="695"/>
      <c r="AN41" s="696"/>
      <c r="AO41" s="351"/>
      <c r="AP41" s="503"/>
      <c r="AQ41" s="352"/>
      <c r="AR41" s="352"/>
      <c r="AS41" s="352"/>
      <c r="AT41" s="352"/>
      <c r="AU41" s="352"/>
      <c r="AV41" s="352"/>
      <c r="AW41" s="352"/>
      <c r="AX41" s="352"/>
      <c r="AY41" s="352"/>
      <c r="AZ41" s="352"/>
      <c r="BA41" s="352"/>
      <c r="BB41" s="353"/>
      <c r="BC41" s="282"/>
      <c r="BE41" s="282"/>
      <c r="BF41" s="352" t="str">
        <f t="shared" si="21"/>
        <v>Nein</v>
      </c>
      <c r="BH41" s="472">
        <f t="shared" si="3"/>
        <v>0</v>
      </c>
      <c r="BI41" s="472">
        <f t="shared" si="4"/>
        <v>0</v>
      </c>
      <c r="BJ41" s="472">
        <f t="shared" si="5"/>
        <v>0</v>
      </c>
      <c r="BM41" s="473">
        <f t="shared" si="6"/>
        <v>0</v>
      </c>
      <c r="BN41" s="474">
        <f t="shared" si="22"/>
        <v>0</v>
      </c>
      <c r="BO41" s="473">
        <f t="shared" si="7"/>
        <v>0</v>
      </c>
      <c r="BP41" s="473">
        <f t="shared" si="8"/>
        <v>0</v>
      </c>
      <c r="BQ41" s="473">
        <f t="shared" si="9"/>
        <v>0</v>
      </c>
      <c r="BR41" s="329"/>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0"/>
      <c r="CH41" s="306" t="str">
        <f t="shared" si="30"/>
        <v/>
      </c>
      <c r="CL41" s="306" t="str">
        <f t="shared" si="31"/>
        <v/>
      </c>
    </row>
    <row r="42" spans="1:90" ht="33" customHeight="1">
      <c r="A42" s="922"/>
      <c r="B42" s="281"/>
      <c r="C42" s="331"/>
      <c r="D42" s="332"/>
      <c r="E42" s="333"/>
      <c r="F42" s="334"/>
      <c r="G42" s="335"/>
      <c r="H42" s="336"/>
      <c r="I42" s="475"/>
      <c r="J42" s="337"/>
      <c r="K42" s="338"/>
      <c r="L42" s="339"/>
      <c r="M42" s="341"/>
      <c r="N42" s="341"/>
      <c r="O42" s="341"/>
      <c r="P42" s="318"/>
      <c r="Q42" s="355"/>
      <c r="R42" s="354" t="str">
        <f>IF(AND(ISBLANK(P42),ISTEXT(Q42)),"t1?",IF(AND(ISBLANK(Q42),ISBLANK(P42)),"",VLOOKUP(BH42,Materialliste!$A$2:$B$1615,2,FALSE)))</f>
        <v/>
      </c>
      <c r="S42" s="318"/>
      <c r="T42" s="355"/>
      <c r="U42" s="354" t="str">
        <f>IF(AND(ISBLANK(S42),ISTEXT(T42)),"t2?",IF(AND(ISBLANK(T42),ISBLANK(S42)),"",VLOOKUP(BI42,Materialliste!$A$2:$B$1615,2,FALSE)))</f>
        <v/>
      </c>
      <c r="V42" s="318"/>
      <c r="W42" s="355"/>
      <c r="X42" s="354" t="str">
        <f>IF(AND(ISBLANK(V42),ISTEXT(W42)),"t3?",IF(AND(ISBLANK(W42),ISBLANK(V42)),"",VLOOKUP(BJ42,Materialliste!$A$2:$B$1615,2,FALSE)))</f>
        <v/>
      </c>
      <c r="Y42" s="442"/>
      <c r="Z42" s="345" t="str">
        <f t="shared" si="0"/>
        <v>BLECH?</v>
      </c>
      <c r="AA42" s="346" t="str">
        <f t="shared" si="11"/>
        <v>?Re</v>
      </c>
      <c r="AB42" s="453" t="str">
        <f t="shared" si="12"/>
        <v>Klebstoff?</v>
      </c>
      <c r="AC42" s="347" t="str">
        <f t="shared" si="13"/>
        <v/>
      </c>
      <c r="AD42" s="322" t="str">
        <f t="shared" si="32"/>
        <v/>
      </c>
      <c r="AE42" s="348" t="str">
        <f t="shared" si="14"/>
        <v>Klebstoff?</v>
      </c>
      <c r="AF42" s="479" t="str">
        <f t="shared" si="15"/>
        <v/>
      </c>
      <c r="AG42" s="481" t="str">
        <f t="shared" si="16"/>
        <v/>
      </c>
      <c r="AH42" s="460" t="str">
        <f t="shared" si="2"/>
        <v/>
      </c>
      <c r="AI42" s="349" t="str">
        <f t="shared" si="17"/>
        <v/>
      </c>
      <c r="AJ42" s="349" t="str">
        <f t="shared" si="18"/>
        <v/>
      </c>
      <c r="AK42" s="349" t="str">
        <f t="shared" si="19"/>
        <v/>
      </c>
      <c r="AL42" s="350" t="str">
        <f t="shared" si="20"/>
        <v/>
      </c>
      <c r="AM42" s="695"/>
      <c r="AN42" s="696"/>
      <c r="AO42" s="351"/>
      <c r="AP42" s="503"/>
      <c r="AQ42" s="352"/>
      <c r="AR42" s="352"/>
      <c r="AS42" s="352"/>
      <c r="AT42" s="352"/>
      <c r="AU42" s="352"/>
      <c r="AV42" s="352"/>
      <c r="AW42" s="352"/>
      <c r="AX42" s="352"/>
      <c r="AY42" s="352"/>
      <c r="AZ42" s="352"/>
      <c r="BA42" s="352"/>
      <c r="BB42" s="353"/>
      <c r="BC42" s="282"/>
      <c r="BE42" s="282"/>
      <c r="BF42" s="352" t="str">
        <f t="shared" si="21"/>
        <v>Nein</v>
      </c>
      <c r="BH42" s="472">
        <f t="shared" si="3"/>
        <v>0</v>
      </c>
      <c r="BI42" s="472">
        <f t="shared" si="4"/>
        <v>0</v>
      </c>
      <c r="BJ42" s="472">
        <f t="shared" si="5"/>
        <v>0</v>
      </c>
      <c r="BM42" s="473">
        <f t="shared" si="6"/>
        <v>0</v>
      </c>
      <c r="BN42" s="474">
        <f t="shared" si="22"/>
        <v>0</v>
      </c>
      <c r="BO42" s="473">
        <f t="shared" si="7"/>
        <v>0</v>
      </c>
      <c r="BP42" s="473">
        <f t="shared" si="8"/>
        <v>0</v>
      </c>
      <c r="BQ42" s="473">
        <f t="shared" si="9"/>
        <v>0</v>
      </c>
      <c r="BR42" s="329"/>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0"/>
      <c r="CH42" s="306" t="str">
        <f t="shared" si="30"/>
        <v/>
      </c>
      <c r="CL42" s="306" t="str">
        <f t="shared" si="31"/>
        <v/>
      </c>
    </row>
    <row r="43" spans="1:90" ht="33" customHeight="1" thickBot="1">
      <c r="A43" s="922"/>
      <c r="B43" s="281"/>
      <c r="C43" s="331"/>
      <c r="D43" s="332"/>
      <c r="E43" s="333"/>
      <c r="F43" s="334"/>
      <c r="G43" s="335"/>
      <c r="H43" s="336"/>
      <c r="I43" s="476"/>
      <c r="J43" s="337"/>
      <c r="K43" s="338"/>
      <c r="L43" s="339"/>
      <c r="M43" s="341"/>
      <c r="N43" s="341"/>
      <c r="O43" s="356"/>
      <c r="P43" s="357"/>
      <c r="Q43" s="355"/>
      <c r="R43" s="358" t="str">
        <f>IF(AND(ISBLANK(P43),ISTEXT(Q43)),"t1?",IF(AND(ISBLANK(Q43),ISBLANK(P43)),"",VLOOKUP(BH43,Materialliste!$A$2:$B$1615,2,FALSE)))</f>
        <v/>
      </c>
      <c r="S43" s="357"/>
      <c r="T43" s="355"/>
      <c r="U43" s="358" t="str">
        <f>IF(AND(ISBLANK(S43),ISTEXT(T43)),"t2?",IF(AND(ISBLANK(T43),ISBLANK(S43)),"",VLOOKUP(BI43,Materialliste!$A$2:$B$1615,2,FALSE)))</f>
        <v/>
      </c>
      <c r="V43" s="357"/>
      <c r="W43" s="355"/>
      <c r="X43" s="358" t="str">
        <f>IF(AND(ISBLANK(V43),ISTEXT(W43)),"t3?",IF(AND(ISBLANK(W43),ISBLANK(V43)),"",VLOOKUP(BJ43,Materialliste!$A$2:$B$1615,2,FALSE)))</f>
        <v/>
      </c>
      <c r="Y43" s="443"/>
      <c r="Z43" s="359" t="str">
        <f t="shared" si="0"/>
        <v>BLECH?</v>
      </c>
      <c r="AA43" s="360" t="str">
        <f t="shared" si="11"/>
        <v>?Re</v>
      </c>
      <c r="AB43" s="361" t="str">
        <f t="shared" si="12"/>
        <v>Klebstoff?</v>
      </c>
      <c r="AC43" s="444" t="str">
        <f t="shared" si="13"/>
        <v/>
      </c>
      <c r="AD43" s="322" t="str">
        <f t="shared" si="32"/>
        <v/>
      </c>
      <c r="AE43" s="362" t="str">
        <f t="shared" si="14"/>
        <v>Klebstoff?</v>
      </c>
      <c r="AF43" s="479" t="str">
        <f t="shared" si="15"/>
        <v/>
      </c>
      <c r="AG43" s="482" t="str">
        <f t="shared" si="16"/>
        <v/>
      </c>
      <c r="AH43" s="460" t="str">
        <f t="shared" si="2"/>
        <v/>
      </c>
      <c r="AI43" s="363" t="str">
        <f t="shared" si="17"/>
        <v/>
      </c>
      <c r="AJ43" s="363" t="str">
        <f t="shared" si="18"/>
        <v/>
      </c>
      <c r="AK43" s="363" t="str">
        <f t="shared" si="19"/>
        <v/>
      </c>
      <c r="AL43" s="364" t="str">
        <f t="shared" si="20"/>
        <v/>
      </c>
      <c r="AM43" s="697"/>
      <c r="AN43" s="698"/>
      <c r="AO43" s="365"/>
      <c r="AP43" s="504"/>
      <c r="AQ43" s="366"/>
      <c r="AR43" s="366"/>
      <c r="AS43" s="366"/>
      <c r="AT43" s="366"/>
      <c r="AU43" s="366"/>
      <c r="AV43" s="366"/>
      <c r="AW43" s="366"/>
      <c r="AX43" s="366"/>
      <c r="AY43" s="366"/>
      <c r="AZ43" s="366"/>
      <c r="BA43" s="366"/>
      <c r="BB43" s="367"/>
      <c r="BC43" s="282"/>
      <c r="BE43" s="282"/>
      <c r="BF43" s="352" t="str">
        <f t="shared" si="21"/>
        <v>Nein</v>
      </c>
      <c r="BH43" s="472">
        <f t="shared" si="3"/>
        <v>0</v>
      </c>
      <c r="BI43" s="472">
        <f t="shared" si="4"/>
        <v>0</v>
      </c>
      <c r="BJ43" s="472">
        <f t="shared" si="5"/>
        <v>0</v>
      </c>
      <c r="BM43" s="473">
        <f t="shared" si="6"/>
        <v>0</v>
      </c>
      <c r="BN43" s="474">
        <f t="shared" si="22"/>
        <v>0</v>
      </c>
      <c r="BO43" s="473">
        <f t="shared" si="7"/>
        <v>0</v>
      </c>
      <c r="BP43" s="473">
        <f t="shared" si="8"/>
        <v>0</v>
      </c>
      <c r="BQ43" s="473">
        <f t="shared" si="9"/>
        <v>0</v>
      </c>
      <c r="BR43" s="368"/>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69"/>
      <c r="CH43" s="306" t="str">
        <f t="shared" si="30"/>
        <v/>
      </c>
      <c r="CL43" s="306" t="str">
        <f t="shared" si="31"/>
        <v/>
      </c>
    </row>
    <row r="44" spans="1:90" ht="20.25" customHeight="1" thickBot="1">
      <c r="A44" s="922"/>
      <c r="B44" s="281"/>
      <c r="C44" s="820" t="str">
        <f>IF($E$6="DE","Zylinderdurchmesser [mm]                 (nur für SPZ)","Cylinder Diameter (mm)              (only for SPZ)")</f>
        <v>Zylinderdurchmesser [mm]                 (nur für SPZ)</v>
      </c>
      <c r="D44" s="821"/>
      <c r="E44" s="823"/>
      <c r="F44" s="818" t="str">
        <f>IF($E$6="DE","Schweißkraft min. [N]","Welding Force min. [N]")</f>
        <v>Schweißkraft min. [N]</v>
      </c>
      <c r="G44" s="819"/>
      <c r="H44" s="410" t="e">
        <f>IF(AND(AN45="JA",ISTEXT(AG47),ISNUMBER(AL47)),(IF(G6="RZ",ROUNDDOWN(MIN(AE19:AE43)*1000,-2),IF(G6="SPZ",ROUNDDOWN(MIN(AE19:AE43)*1000,-2),"Zangentyp?"))),(IF(G6="RZ",ROUNDDOWN(MIN(AB19:AB43)*1000,-2),IF(G6="SPZ",ROUNDDOWN(MIN(AB19:AB43)*1000,-2),"Zangentyp?"))))</f>
        <v>#N/A</v>
      </c>
      <c r="I44" s="818" t="str">
        <f>IF($E$6="DE","Ausladung [mm]","Distance to Tip [mm]")</f>
        <v>Ausladung [mm]</v>
      </c>
      <c r="J44" s="834"/>
      <c r="K44" s="833"/>
      <c r="L44" s="411"/>
      <c r="M44" s="818" t="str">
        <f>IF($E$6="DE","Zylinderkraft min. [N]","Cyl. Force min. [N]")</f>
        <v>Zylinderkraft min. [N]</v>
      </c>
      <c r="N44" s="833"/>
      <c r="O44" s="412" t="e">
        <f>IF(G8="J",(H44/L46)*2,H44/L46)</f>
        <v>#N/A</v>
      </c>
      <c r="P44" s="818" t="str">
        <f>IF($E$6="DE","Zylinderdruck min. [bar]","Cyl. Pressure min. [bar]")</f>
        <v>Zylinderdruck min. [bar]</v>
      </c>
      <c r="Q44" s="833"/>
      <c r="R44" s="982" t="e">
        <f>10*O44/(H46*E46)</f>
        <v>#N/A</v>
      </c>
      <c r="S44" s="983"/>
      <c r="T44" s="1001" t="str">
        <f>IF(AND($E$6="DE",G6="RZ"),"Ergebnis Zangen-/Motorauslegung",IF(AND($E$6="ENG",G6="RZ"),"Result Gun/Motor Design",IF(AND($E$6="DE",G6="SPZ"),"Ergebnis zwischen 1,0 bar und 10 bar:",IF(AND($E$6="ENG",G6="SPZ"),"Result between 1,0 bar and 10 bar:","-"))))</f>
        <v>Ergebnis zwischen 1,0 bar und 10 bar:</v>
      </c>
      <c r="U44" s="1002"/>
      <c r="V44" s="1002"/>
      <c r="W44" s="1003"/>
      <c r="X44" s="946" t="str">
        <f>IF($E$6="DE","benötigte Elektrodenkappen für Schweißzange","required Electrode Caps for Gun")</f>
        <v>benötigte Elektrodenkappen für Schweißzange</v>
      </c>
      <c r="Y44" s="947"/>
      <c r="Z44" s="948"/>
      <c r="AA44" s="1012" t="str">
        <f>IF($E$6="DE","benötigtes Fräsmesser","required Tip Dresser")</f>
        <v>benötigtes Fräsmesser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Legende der Indizes: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Schweißkraft max. [N]</v>
      </c>
      <c r="G45" s="826"/>
      <c r="H45" s="413" t="e">
        <f>IF(AND(AN45="Ja",ISTEXT(AG47),ISNUMBER(AL47)),(IF(ROUNDUP(MAX(AE19:AE43)*2300,-3)&gt;5000,(ROUNDUP(MAX(AE19:AE43)*2300,-3)/2),2500)),(IF(ROUNDUP(MAX(AB19:AB43)*2200,-3)&gt;5000,(ROUNDUP(MAX(AB19:AB43)*2200,-3)/2),IF(BL9=TRUE,1100,2500))))</f>
        <v>#N/A</v>
      </c>
      <c r="I45" s="825" t="str">
        <f>IF(G6="RZ",IF($E$6="DE","Abstand Motor [mm]","Distance to Motor [mm]"),IF($E$6="DE","Abstand Zylinder [mm]","Distance to Cylinder [mm]"))</f>
        <v>Abstand Zylinder [mm]</v>
      </c>
      <c r="J45" s="835"/>
      <c r="K45" s="826"/>
      <c r="L45" s="414"/>
      <c r="M45" s="827" t="str">
        <f>IF($E$6="DE","Zylinderkraft max.[N]","Cyl. Force max.[N]")</f>
        <v>Zylinderkraft max.[N]</v>
      </c>
      <c r="N45" s="828"/>
      <c r="O45" s="415" t="e">
        <f>IF(G8="J",(H45/L46)*2,H45/L46)</f>
        <v>#N/A</v>
      </c>
      <c r="P45" s="827" t="str">
        <f>IF($E$6="DE","Zylinderdruck max. [bar]","Cyl. Pressure max. [bar]")</f>
        <v>Zylinderdruck max. [bar]</v>
      </c>
      <c r="Q45" s="828"/>
      <c r="R45" s="980" t="e">
        <f>10*O45/(H46*E46)</f>
        <v>#N/A</v>
      </c>
      <c r="S45" s="981"/>
      <c r="T45" s="1009" t="e">
        <f>IF(G6="RZ",BH49,IF(G6="SPZ",BH46,IF(G6="-","Zangentyp/Guntype?")))</f>
        <v>#N/A</v>
      </c>
      <c r="U45" s="1010"/>
      <c r="V45" s="1010"/>
      <c r="W45" s="1011"/>
      <c r="X45" s="949"/>
      <c r="Y45" s="949"/>
      <c r="Z45" s="950"/>
      <c r="AA45" s="416" t="s">
        <v>1178</v>
      </c>
      <c r="AB45" s="417" t="s">
        <v>1180</v>
      </c>
      <c r="AC45" s="417" t="s">
        <v>1179</v>
      </c>
      <c r="AD45" s="418" t="s">
        <v>1181</v>
      </c>
      <c r="AE45" s="67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Zylinderwirkungsgrad                           (nur für SPZ)</v>
      </c>
      <c r="D46" s="828"/>
      <c r="E46" s="415">
        <v>0.95</v>
      </c>
      <c r="F46" s="827" t="str">
        <f>IF($E$6="DE","Zylinderfläche [mm²] (nur für SPZ)","Cylinder Surface [mm²] (only for SPZ)")</f>
        <v>Zylinderfläche [mm²] (nur für SPZ)</v>
      </c>
      <c r="G46" s="828"/>
      <c r="H46" s="419">
        <f>IF(E45="T",2*PI()/4*POWER(E44,2),PI()/4*POWER(E44,2))</f>
        <v>0</v>
      </c>
      <c r="I46" s="974" t="str">
        <f>IF($E$6="DE","Ausladung/ Abstand","Leverage Ratio")</f>
        <v>Ausladung/ Abstand</v>
      </c>
      <c r="J46" s="975"/>
      <c r="K46" s="976"/>
      <c r="L46" s="420">
        <f>IF(G19="X",L45/L44,1)</f>
        <v>1</v>
      </c>
      <c r="M46" s="829" t="str">
        <f>IF($E$6="DE","notwendige Motorkraft min. [N]","requiered Motor Force min. [N]")</f>
        <v>notwendige Motorkraft min. [N]</v>
      </c>
      <c r="N46" s="830"/>
      <c r="O46" s="421" t="e">
        <f>IF(G8="J",(H44/L46)*2,H44/L46)</f>
        <v>#N/A</v>
      </c>
      <c r="P46" s="829" t="str">
        <f>IF($E$6="DE","erreichbare Motorkraft min. [N]","feasible Motor Force min. [N]")</f>
        <v>erreichbare Motorkraft min. [N]</v>
      </c>
      <c r="Q46" s="830"/>
      <c r="R46" s="991" t="str">
        <f>IF(ISNA(VLOOKUP(CONCATENATE(E47,H47,L47),Motordaten!D3:H45,3,FALSE)),"",VLOOKUP(CONCATENATE(E47,H47,L47),Motordaten!D3:H45,3,FALSE))</f>
        <v/>
      </c>
      <c r="S46" s="992"/>
      <c r="T46" s="995" t="e">
        <f>IF(G6="RZ",BH50,IF(G6="SPZ",BH47," "))</f>
        <v>#N/A</v>
      </c>
      <c r="U46" s="996"/>
      <c r="V46" s="996"/>
      <c r="W46" s="997"/>
      <c r="X46" s="943" t="e">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#N/A</v>
      </c>
      <c r="Y46" s="944"/>
      <c r="Z46" s="945"/>
      <c r="AA46" s="422" t="e">
        <f>IF(AND(X46="39D 1978-2",MAX(AI19:AI43)=8),8,(VLOOKUP(X46,AH19:AL43,2,FALSE)))</f>
        <v>#N/A</v>
      </c>
      <c r="AB46" s="423" t="e">
        <f>VLOOKUP(X46,AH19:AL43,3,FALSE)</f>
        <v>#N/A</v>
      </c>
      <c r="AC46" s="424" t="e">
        <f>IF(AND(X46="39D 1978-2",MAX(AK19:AK43)=8),8,(VLOOKUP(X46,AH19:AL43,4,FALSE)))</f>
        <v>#N/A</v>
      </c>
      <c r="AD46" s="425" t="e">
        <f>VLOOKUP(X46,AH19:AL43,5,FALSE)</f>
        <v>#N/A</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#N/A</v>
      </c>
      <c r="BI46" s="902"/>
      <c r="BJ46" s="279" t="s">
        <v>1708</v>
      </c>
    </row>
    <row r="47" spans="1:90" ht="42.75" customHeight="1" thickBot="1">
      <c r="A47" s="922"/>
      <c r="B47" s="281"/>
      <c r="C47" s="816" t="str">
        <f>IF($E$6="DE","Roboterhersteller                                          (nur für RZ)","Robot Supplier                                  (only for RZ)")</f>
        <v>Roboterhersteller                                          (nur für RZ)</v>
      </c>
      <c r="D47" s="817"/>
      <c r="E47" s="426"/>
      <c r="F47" s="816" t="str">
        <f>IF($E$6="DE","Zangengrundkörper               (nur für RZ)","Weld Gun Basic Body (only for RZ)")</f>
        <v>Zangengrundkörper               (nur für RZ)</v>
      </c>
      <c r="G47" s="817"/>
      <c r="H47" s="426"/>
      <c r="I47" s="977" t="str">
        <f>IF($E$6="DE","Motorhersteller                           (nur für RZ)","Motor Supplier                        (only for RZ)")</f>
        <v>Motorhersteller                           (nur für RZ)</v>
      </c>
      <c r="J47" s="978"/>
      <c r="K47" s="979"/>
      <c r="L47" s="426"/>
      <c r="M47" s="831" t="str">
        <f>IF($E$6="DE","notwendige Motorkraft max. [N]","requiered Motor Force max. [N]")</f>
        <v>notwendige Motorkraft max. [N]</v>
      </c>
      <c r="N47" s="832"/>
      <c r="O47" s="427" t="e">
        <f>IF(G8="J",(H45/L46)*2,H45/L46)</f>
        <v>#N/A</v>
      </c>
      <c r="P47" s="831" t="str">
        <f>IF($E$6="DE","erreichbare Motorkraft max. [N]"," feasible  Motor Force max. [N]")</f>
        <v>erreichbare Motorkraft max. [N]</v>
      </c>
      <c r="Q47" s="832"/>
      <c r="R47" s="993" t="str">
        <f>IF(ISNA(VLOOKUP(CONCATENATE(E47,H47,L47),Motordaten!D3:H45,4,FALSE)),"",VLOOKUP(CONCATENATE(E47,H47,L47),Motordaten!D3:H45,4,FALSE))</f>
        <v/>
      </c>
      <c r="S47" s="994"/>
      <c r="T47" s="998" t="str">
        <f>IF($E$6="DE","Max.Elektrodenkraft lt.Zeichnung[N]","Max.Electrode-Force acc.to Drw.[N]")</f>
        <v>Max.Elektrodenkraft lt.Zeichnung[N]</v>
      </c>
      <c r="U47" s="999"/>
      <c r="V47" s="1000"/>
      <c r="W47" s="428">
        <v>5000</v>
      </c>
      <c r="X47" s="892" t="str">
        <f>IF($E$6="DE","Motorbezeichnung:","Designation of Motor")</f>
        <v>Motorbezeichnung:</v>
      </c>
      <c r="Y47" s="893"/>
      <c r="Z47" s="894"/>
      <c r="AA47" s="892" t="str">
        <f>_xlfn.IFNA(VLOOKUP(CONCATENATE(E47,H47,L47),Motordaten!D3:H45,2,FALSE),IF(E6="DE","Kein Motortyp gefunden","no motortype found"))</f>
        <v>Kein Motortyp gefunden</v>
      </c>
      <c r="AB47" s="893"/>
      <c r="AC47" s="893"/>
      <c r="AD47" s="894"/>
      <c r="AE47" s="741" t="str">
        <f>IF(E6="DE", "Name:                         (Abteilung)","Name                        (Dept.)")</f>
        <v>Name:                         (Abteilung)</v>
      </c>
      <c r="AF47" s="742"/>
      <c r="AG47" s="883"/>
      <c r="AH47" s="884"/>
      <c r="AI47" s="885"/>
      <c r="AJ47" s="879" t="str">
        <f>IF(E6="DE", "Datum","Date")</f>
        <v>Datum</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#N/A</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1610</v>
      </c>
      <c r="N48" s="873"/>
      <c r="O48" s="853" t="s">
        <v>13</v>
      </c>
      <c r="P48" s="876" t="s">
        <v>2</v>
      </c>
      <c r="Q48" s="877"/>
      <c r="R48" s="962" t="str">
        <f>IF(ISBLANK('Blatt 0'!X55),"Blatt 0!",'Blatt 0'!X55)</f>
        <v>GME</v>
      </c>
      <c r="S48" s="963"/>
      <c r="T48" s="963"/>
      <c r="U48" s="963"/>
      <c r="V48" s="964"/>
      <c r="W48" s="370" t="s">
        <v>42</v>
      </c>
      <c r="X48" s="927">
        <f>IF(ISBLANK('Blatt 0'!AB55),"Blatt 0!",'Blatt 0'!AB55)</f>
        <v>2</v>
      </c>
      <c r="Y48" s="928"/>
      <c r="Z48" s="929"/>
      <c r="AA48" s="371"/>
      <c r="AB48" s="372"/>
      <c r="AC48" s="373"/>
      <c r="AD48" s="374"/>
      <c r="AE48" s="374"/>
      <c r="AF48" s="375"/>
      <c r="AG48" s="375"/>
      <c r="AH48" s="374"/>
      <c r="AI48" s="374"/>
      <c r="AJ48" s="374"/>
      <c r="AK48" s="376"/>
      <c r="AL48" s="377"/>
      <c r="AM48" s="378" t="s">
        <v>43</v>
      </c>
      <c r="AN48" s="379"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0" t="s">
        <v>44</v>
      </c>
      <c r="X49" s="930"/>
      <c r="Y49" s="931"/>
      <c r="Z49" s="932"/>
      <c r="AA49" s="381"/>
      <c r="AB49" s="382"/>
      <c r="AC49" s="383"/>
      <c r="AD49" s="384"/>
      <c r="AE49" s="385" t="str">
        <f>IF(E6="DE","Änderungsindex:", "Update Index:")</f>
        <v>Änderungsindex:</v>
      </c>
      <c r="AF49" s="386" t="e">
        <f>#REF!</f>
        <v>#REF!</v>
      </c>
      <c r="AG49" s="387"/>
      <c r="AH49" s="387"/>
      <c r="AI49" s="387"/>
      <c r="AJ49" s="387"/>
      <c r="AK49" s="388"/>
      <c r="AL49" s="389"/>
      <c r="AM49" s="390" t="s">
        <v>45</v>
      </c>
      <c r="AN49" s="391" t="s">
        <v>46</v>
      </c>
      <c r="AO49" s="913"/>
      <c r="AP49" s="914"/>
      <c r="AQ49" s="914"/>
      <c r="AR49" s="914"/>
      <c r="AS49" s="914"/>
      <c r="AT49" s="914"/>
      <c r="AU49" s="914"/>
      <c r="AV49" s="914"/>
      <c r="AW49" s="914"/>
      <c r="AX49" s="914"/>
      <c r="AY49" s="914"/>
      <c r="AZ49" s="914"/>
      <c r="BA49" s="914"/>
      <c r="BB49" s="915"/>
      <c r="BC49" s="282"/>
      <c r="BD49" s="282"/>
      <c r="BE49" s="282"/>
      <c r="BF49" s="282"/>
      <c r="BH49" s="901"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#N/A</v>
      </c>
      <c r="BI49" s="902"/>
      <c r="BJ49" s="392"/>
      <c r="BK49" s="392"/>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ST1610</v>
      </c>
      <c r="N50" s="860"/>
      <c r="O50" s="855"/>
      <c r="P50" s="863" t="s">
        <v>7</v>
      </c>
      <c r="Q50" s="864"/>
      <c r="R50" s="730" t="str">
        <f>IF(ISBLANK('Blatt 0'!X57),"Blatt 0!",'Blatt 0'!X57)</f>
        <v>GME</v>
      </c>
      <c r="S50" s="731"/>
      <c r="T50" s="731"/>
      <c r="U50" s="731"/>
      <c r="V50" s="732"/>
      <c r="W50" s="380" t="s">
        <v>8</v>
      </c>
      <c r="X50" s="933">
        <f>IF(ISBLANK('Blatt 0'!AA57),"Blatt 0!",'Blatt 0'!AA57)</f>
        <v>45013</v>
      </c>
      <c r="Y50" s="934"/>
      <c r="Z50" s="935"/>
      <c r="AA50" s="381"/>
      <c r="AB50" s="382"/>
      <c r="AC50" s="383"/>
      <c r="AD50" s="387"/>
      <c r="AE50" s="387"/>
      <c r="AF50" s="387"/>
      <c r="AG50" s="387"/>
      <c r="AH50" s="387"/>
      <c r="AI50" s="387"/>
      <c r="AJ50" s="387"/>
      <c r="AK50" s="387"/>
      <c r="AL50" s="393"/>
      <c r="AM50" s="394"/>
      <c r="AN50" s="395"/>
      <c r="AO50" s="913"/>
      <c r="AP50" s="914"/>
      <c r="AQ50" s="914"/>
      <c r="AR50" s="914"/>
      <c r="AS50" s="914"/>
      <c r="AT50" s="914"/>
      <c r="AU50" s="914"/>
      <c r="AV50" s="914"/>
      <c r="AW50" s="914"/>
      <c r="AX50" s="914"/>
      <c r="AY50" s="914"/>
      <c r="AZ50" s="914"/>
      <c r="BA50" s="914"/>
      <c r="BB50" s="915"/>
      <c r="BC50" s="282"/>
      <c r="BD50" s="282"/>
      <c r="BE50" s="282"/>
      <c r="BF50" s="282"/>
      <c r="BG50" s="396"/>
      <c r="BH50" s="901" t="e">
        <f>IF(O46&lt;R46,IF(E6="DE","Rücksprache Prozessmethodik","consult Process Methodology")," ")</f>
        <v>#N/A</v>
      </c>
      <c r="BI50" s="902"/>
      <c r="BJ50" s="392"/>
      <c r="BK50" s="392"/>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7"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6"/>
      <c r="BH51" s="396"/>
      <c r="BI51" s="396"/>
      <c r="BJ51" s="396"/>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7"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6"/>
      <c r="BH52" s="396"/>
      <c r="BI52" s="396"/>
      <c r="BJ52" s="396"/>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8" t="s">
        <v>24</v>
      </c>
      <c r="X53" s="930"/>
      <c r="Y53" s="931"/>
      <c r="Z53" s="932"/>
      <c r="AA53" s="399"/>
      <c r="AB53" s="400"/>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6"/>
      <c r="BH53" s="396"/>
      <c r="BI53" s="396"/>
      <c r="BJ53" s="396"/>
    </row>
    <row r="54" spans="1:68" s="281" customFormat="1" ht="12">
      <c r="C54" s="401" t="s">
        <v>1272</v>
      </c>
      <c r="D54" s="401"/>
      <c r="E54" s="402"/>
      <c r="F54" s="402"/>
      <c r="G54" s="402"/>
      <c r="H54" s="402"/>
      <c r="I54" s="402"/>
      <c r="J54" s="402"/>
      <c r="K54" s="402"/>
      <c r="L54" s="402"/>
      <c r="M54" s="724" t="s">
        <v>1690</v>
      </c>
      <c r="N54" s="724"/>
      <c r="O54" s="403" t="s">
        <v>1909</v>
      </c>
      <c r="P54" s="403"/>
      <c r="Q54" s="402"/>
      <c r="R54" s="402"/>
      <c r="S54" s="402"/>
      <c r="T54" s="402"/>
      <c r="U54" s="402"/>
      <c r="V54" s="402"/>
      <c r="W54" s="402"/>
      <c r="X54" s="402"/>
      <c r="Y54" s="402"/>
      <c r="Z54" s="402"/>
      <c r="AA54" s="402"/>
      <c r="AB54" s="402"/>
      <c r="AC54" s="404"/>
      <c r="AD54" s="404"/>
      <c r="AF54" s="814" t="s">
        <v>1269</v>
      </c>
      <c r="AG54" s="814"/>
      <c r="AH54" s="738" t="s">
        <v>1713</v>
      </c>
      <c r="AI54" s="738"/>
      <c r="AJ54" s="738"/>
      <c r="AK54" s="739" t="s">
        <v>1268</v>
      </c>
      <c r="AL54" s="739"/>
      <c r="AM54" s="740"/>
      <c r="AN54" s="740"/>
      <c r="AO54" s="405"/>
      <c r="AP54" s="405"/>
      <c r="AQ54" s="405"/>
      <c r="AR54" s="405"/>
      <c r="AS54" s="405"/>
      <c r="AT54" s="405"/>
      <c r="AU54" s="405"/>
      <c r="AV54" s="405"/>
      <c r="AW54" s="405"/>
      <c r="AX54" s="405"/>
      <c r="AY54" s="405"/>
      <c r="AZ54" s="405"/>
      <c r="BA54" s="405"/>
      <c r="BB54" s="405"/>
      <c r="BC54" s="405"/>
      <c r="BD54" s="405"/>
      <c r="BE54" s="405"/>
      <c r="BF54" s="405"/>
    </row>
    <row r="55" spans="1:68" s="281" customFormat="1" ht="31.5" customHeight="1">
      <c r="F55" s="406"/>
      <c r="J55" s="406"/>
      <c r="K55" s="406"/>
      <c r="L55" s="406"/>
      <c r="M55" s="406"/>
      <c r="N55" s="406"/>
      <c r="O55" s="406"/>
      <c r="P55" s="406"/>
      <c r="R55" s="406"/>
      <c r="U55" s="406"/>
      <c r="V55" s="406"/>
      <c r="W55" s="406"/>
      <c r="Y55" s="406"/>
      <c r="Z55" s="406"/>
      <c r="AA55" s="406"/>
      <c r="AB55" s="406"/>
      <c r="AD55" s="406"/>
      <c r="AE55" s="406"/>
      <c r="AF55" s="492"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7"/>
    </row>
    <row r="56" spans="1:68" s="281" customFormat="1" ht="38.25" customHeight="1">
      <c r="F56" s="406"/>
      <c r="J56" s="406"/>
      <c r="K56" s="406"/>
      <c r="L56" s="406"/>
      <c r="M56" s="406"/>
      <c r="N56" s="406"/>
      <c r="O56" s="406"/>
      <c r="P56" s="406"/>
      <c r="Q56" s="490"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6"/>
      <c r="S56" s="406"/>
      <c r="T56" s="406"/>
      <c r="U56" s="406"/>
      <c r="V56" s="406"/>
      <c r="W56" s="406"/>
      <c r="Y56" s="406"/>
      <c r="AF56" s="407"/>
      <c r="AG56" s="407"/>
    </row>
    <row r="57" spans="1:68" s="281" customFormat="1" ht="37.5" customHeight="1">
      <c r="F57" s="406"/>
      <c r="J57" s="406"/>
      <c r="K57" s="406"/>
      <c r="L57" s="406"/>
      <c r="M57" s="406"/>
      <c r="N57" s="406"/>
      <c r="O57" s="406"/>
      <c r="P57" s="406"/>
      <c r="Q57" s="490"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6"/>
      <c r="S57" s="406"/>
      <c r="T57" s="406"/>
      <c r="U57" s="406"/>
      <c r="V57" s="406"/>
      <c r="W57" s="406"/>
      <c r="Y57" s="406"/>
      <c r="AF57" s="407"/>
      <c r="AG57" s="407"/>
    </row>
    <row r="58" spans="1:68" s="281" customFormat="1" ht="42" customHeight="1">
      <c r="F58" s="406"/>
      <c r="J58" s="406"/>
      <c r="K58" s="406"/>
      <c r="L58" s="406"/>
      <c r="M58" s="406"/>
      <c r="N58" s="406"/>
      <c r="O58" s="406"/>
      <c r="P58" s="406"/>
      <c r="Q58" s="491" t="str">
        <f>IF($E$6="DE",(IF(AND($BI$9=TRUE,$BJ$9=TRUE),"X-Zange für Aluminiumschweißen nicht zulässig!!!","")),(IF(AND($BI$9=TRUE,$BJ$9=TRUE),"X-Gun for Aluminium- Spotwelding not permitted!!!","")))</f>
        <v/>
      </c>
      <c r="R58" s="406"/>
      <c r="S58" s="406"/>
      <c r="T58" s="406"/>
      <c r="U58" s="406"/>
      <c r="V58" s="406"/>
      <c r="W58" s="406"/>
      <c r="X58" s="406"/>
      <c r="Y58" s="406"/>
      <c r="AF58" s="407"/>
      <c r="AG58" s="407"/>
    </row>
    <row r="59" spans="1:68" s="281" customFormat="1" ht="15" customHeight="1">
      <c r="F59" s="406"/>
      <c r="J59" s="406"/>
      <c r="K59" s="406"/>
      <c r="L59" s="406"/>
      <c r="M59" s="406"/>
      <c r="N59" s="406"/>
      <c r="O59" s="406"/>
      <c r="P59" s="406"/>
      <c r="Q59" s="406"/>
      <c r="R59" s="406"/>
      <c r="S59" s="406"/>
      <c r="T59" s="406"/>
      <c r="U59" s="406"/>
      <c r="V59" s="406"/>
      <c r="W59" s="406"/>
      <c r="X59" s="406"/>
      <c r="Y59" s="406"/>
      <c r="AF59" s="407"/>
      <c r="AG59" s="407"/>
    </row>
    <row r="60" spans="1:68" s="281" customFormat="1" ht="15" customHeight="1">
      <c r="F60" s="406"/>
      <c r="J60" s="406"/>
      <c r="K60" s="406"/>
      <c r="L60" s="406"/>
      <c r="M60" s="406"/>
      <c r="N60" s="406"/>
      <c r="O60" s="406"/>
      <c r="P60" s="406"/>
      <c r="Q60" s="406"/>
      <c r="R60" s="406"/>
      <c r="S60" s="406"/>
      <c r="T60" s="406"/>
      <c r="U60" s="406"/>
      <c r="V60" s="406"/>
      <c r="W60" s="406"/>
      <c r="X60" s="406"/>
      <c r="Y60" s="406"/>
      <c r="AF60" s="407"/>
      <c r="AG60" s="407"/>
    </row>
    <row r="61" spans="1:68" s="281" customFormat="1" ht="15" customHeight="1">
      <c r="F61" s="406"/>
      <c r="J61" s="406"/>
      <c r="K61" s="406"/>
      <c r="L61" s="406"/>
      <c r="M61" s="406"/>
      <c r="N61" s="406"/>
      <c r="O61" s="406"/>
      <c r="P61" s="406"/>
      <c r="Q61" s="406"/>
      <c r="R61" s="406"/>
      <c r="S61" s="406"/>
      <c r="T61" s="406"/>
      <c r="U61" s="406"/>
      <c r="V61" s="406"/>
      <c r="W61" s="406"/>
      <c r="X61" s="406"/>
      <c r="Y61" s="406"/>
      <c r="AF61" s="407"/>
      <c r="AG61" s="407"/>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60" priority="427" stopIfTrue="1" operator="equal">
      <formula>"Ergebnis des Druckbereichs i.O."</formula>
    </cfRule>
    <cfRule type="cellIs" dxfId="159" priority="428" stopIfTrue="1" operator="equal">
      <formula>"Ergebnis des Druckbereichs nicht i.O."</formula>
    </cfRule>
  </conditionalFormatting>
  <conditionalFormatting sqref="BH47">
    <cfRule type="cellIs" dxfId="158" priority="425" stopIfTrue="1" operator="equal">
      <formula>" "</formula>
    </cfRule>
    <cfRule type="cellIs" dxfId="157" priority="426" stopIfTrue="1" operator="equal">
      <formula>"Rücksprache Prozessmethodik"</formula>
    </cfRule>
  </conditionalFormatting>
  <conditionalFormatting sqref="X46">
    <cfRule type="cellIs" dxfId="156" priority="419" stopIfTrue="1" operator="notEqual">
      <formula>"39D 1978-2"</formula>
    </cfRule>
    <cfRule type="containsText" dxfId="155" priority="420" stopIfTrue="1" operator="containsText" text="39D 1978-2">
      <formula>NOT(ISERROR(SEARCH("39D 1978-2",X46)))</formula>
    </cfRule>
    <cfRule type="expression" priority="421" stopIfTrue="1">
      <formula>1</formula>
    </cfRule>
  </conditionalFormatting>
  <conditionalFormatting sqref="AA46">
    <cfRule type="cellIs" dxfId="154" priority="418" stopIfTrue="1" operator="notEqual">
      <formula>6</formula>
    </cfRule>
  </conditionalFormatting>
  <conditionalFormatting sqref="AB46">
    <cfRule type="cellIs" dxfId="153" priority="417" stopIfTrue="1" operator="notEqual">
      <formula>50</formula>
    </cfRule>
  </conditionalFormatting>
  <conditionalFormatting sqref="AC46">
    <cfRule type="cellIs" dxfId="152" priority="416" stopIfTrue="1" operator="notEqual">
      <formula>6</formula>
    </cfRule>
  </conditionalFormatting>
  <conditionalFormatting sqref="AD46">
    <cfRule type="cellIs" dxfId="151" priority="413" stopIfTrue="1" operator="notEqual">
      <formula>50</formula>
    </cfRule>
  </conditionalFormatting>
  <conditionalFormatting sqref="CB19:CB43">
    <cfRule type="cellIs" dxfId="150" priority="438" stopIfTrue="1" operator="equal">
      <formula>$AC$19</formula>
    </cfRule>
  </conditionalFormatting>
  <conditionalFormatting sqref="G19:G43">
    <cfRule type="expression" dxfId="149" priority="412" stopIfTrue="1">
      <formula>OR(AND(ISNUMBER($P19),ISBLANK($G19)),AND(ISTEXT($G19),ISBLANK($P19)))</formula>
    </cfRule>
  </conditionalFormatting>
  <conditionalFormatting sqref="BH46">
    <cfRule type="cellIs" dxfId="148" priority="396" operator="equal">
      <formula>"pressure level not allowed"</formula>
    </cfRule>
    <cfRule type="cellIs" dxfId="147" priority="397" operator="equal">
      <formula>"presure level allowed"</formula>
    </cfRule>
    <cfRule type="cellIs" dxfId="146" priority="398" operator="equal">
      <formula>"Max. Force of gun acc.Drw.exceeded!"</formula>
    </cfRule>
    <cfRule type="cellIs" dxfId="145" priority="408" stopIfTrue="1" operator="equal">
      <formula>"Zangenkraft lt.Zangenzeichnung überschritten!"</formula>
    </cfRule>
  </conditionalFormatting>
  <conditionalFormatting sqref="AE19:AE43">
    <cfRule type="expression" dxfId="144" priority="404">
      <formula>ISERROR(AE19)</formula>
    </cfRule>
  </conditionalFormatting>
  <conditionalFormatting sqref="BH47">
    <cfRule type="cellIs" dxfId="143" priority="395" operator="equal">
      <formula>"consult process methodology"</formula>
    </cfRule>
  </conditionalFormatting>
  <conditionalFormatting sqref="W47">
    <cfRule type="expression" dxfId="142" priority="439" stopIfTrue="1">
      <formula>ISBLANK($W$47)</formula>
    </cfRule>
  </conditionalFormatting>
  <conditionalFormatting sqref="G6">
    <cfRule type="cellIs" dxfId="141" priority="394" operator="equal">
      <formula>"-"</formula>
    </cfRule>
  </conditionalFormatting>
  <conditionalFormatting sqref="H44">
    <cfRule type="cellIs" dxfId="140" priority="393" operator="equal">
      <formula>"Zangentyp?"</formula>
    </cfRule>
  </conditionalFormatting>
  <conditionalFormatting sqref="BH49">
    <cfRule type="cellIs" dxfId="139" priority="391" stopIfTrue="1" operator="equal">
      <formula>"Zangen/Motorauslegung i.O."</formula>
    </cfRule>
    <cfRule type="cellIs" dxfId="138" priority="392" stopIfTrue="1" operator="equal">
      <formula>"Zangen/Motorauslegung nicht i.O."</formula>
    </cfRule>
  </conditionalFormatting>
  <conditionalFormatting sqref="BH49 BJ49:BK49">
    <cfRule type="cellIs" dxfId="137" priority="385" operator="equal">
      <formula>"Gun/Electromotor Design not O.K."</formula>
    </cfRule>
    <cfRule type="cellIs" dxfId="136" priority="386" operator="equal">
      <formula>"Gun/Electromotor Design O.K."</formula>
    </cfRule>
    <cfRule type="cellIs" dxfId="135" priority="387" operator="equal">
      <formula>"incorrect Gun Type/Gun Body/Gun Measure"</formula>
    </cfRule>
    <cfRule type="cellIs" dxfId="134" priority="388" operator="equal">
      <formula>"Max. Force of Gun acc.Drw.exceeded!"</formula>
    </cfRule>
    <cfRule type="cellIs" dxfId="133" priority="389" operator="equal">
      <formula>"max. Zangenkraft lt.Zeichnung überschritten!"</formula>
    </cfRule>
    <cfRule type="cellIs" dxfId="132" priority="390" stopIfTrue="1" operator="equal">
      <formula>"Zangentyp/-grundkörper/-maße falsch"</formula>
    </cfRule>
  </conditionalFormatting>
  <conditionalFormatting sqref="BH50">
    <cfRule type="cellIs" dxfId="131" priority="383" stopIfTrue="1" operator="equal">
      <formula>" "</formula>
    </cfRule>
    <cfRule type="cellIs" dxfId="130" priority="384" stopIfTrue="1" operator="equal">
      <formula>"Rücksprache Prozessmethodik"</formula>
    </cfRule>
  </conditionalFormatting>
  <conditionalFormatting sqref="T46">
    <cfRule type="cellIs" dxfId="129" priority="373" stopIfTrue="1" operator="equal">
      <formula>" "</formula>
    </cfRule>
    <cfRule type="cellIs" dxfId="128" priority="374" stopIfTrue="1" operator="equal">
      <formula>"Rücksprache Prozessmethodik"</formula>
    </cfRule>
  </conditionalFormatting>
  <conditionalFormatting sqref="T46">
    <cfRule type="cellIs" dxfId="127" priority="372" operator="equal">
      <formula>"consult process methodology"</formula>
    </cfRule>
  </conditionalFormatting>
  <conditionalFormatting sqref="T45">
    <cfRule type="cellIs" dxfId="126" priority="370" stopIfTrue="1" operator="equal">
      <formula>"Zangen/Motorauslegung i.O."</formula>
    </cfRule>
    <cfRule type="cellIs" dxfId="125" priority="371" stopIfTrue="1" operator="equal">
      <formula>"Zangen/Motorauslegung nicht i.O."</formula>
    </cfRule>
  </conditionalFormatting>
  <conditionalFormatting sqref="T45:W45">
    <cfRule type="cellIs" dxfId="124" priority="330" operator="equal">
      <formula>"Zangentyp/Guntype?"</formula>
    </cfRule>
    <cfRule type="cellIs" dxfId="123" priority="360" operator="equal">
      <formula>"Pressure level not allowed"</formula>
    </cfRule>
    <cfRule type="cellIs" dxfId="122" priority="361" operator="equal">
      <formula>"Presure level allowed"</formula>
    </cfRule>
    <cfRule type="cellIs" dxfId="121" priority="362" operator="equal">
      <formula>"Ergebnis des Druckbereichs nicht i.O."</formula>
    </cfRule>
    <cfRule type="cellIs" dxfId="120" priority="363" operator="equal">
      <formula>"Ergebnis des Druckbereichs i.O."</formula>
    </cfRule>
    <cfRule type="cellIs" dxfId="119" priority="364" operator="equal">
      <formula>"Gun/Electromotor Design not O.K."</formula>
    </cfRule>
    <cfRule type="cellIs" dxfId="118" priority="365" operator="equal">
      <formula>"Gun/Electromotor Design O.K."</formula>
    </cfRule>
    <cfRule type="cellIs" dxfId="117" priority="366" operator="equal">
      <formula>"incorrect Gun Type/Gun Body/Gun Measure"</formula>
    </cfRule>
    <cfRule type="cellIs" dxfId="116" priority="367" operator="equal">
      <formula>"Max. Force of Gun acc.Drw.exceeded!"</formula>
    </cfRule>
    <cfRule type="cellIs" dxfId="115" priority="368" operator="equal">
      <formula>"max. Zangenkraft lt.Zeichnung überschritten!"</formula>
    </cfRule>
    <cfRule type="cellIs" dxfId="114" priority="369" stopIfTrue="1" operator="equal">
      <formula>"Zangentyp/-grundkörper/-maße falsch"</formula>
    </cfRule>
  </conditionalFormatting>
  <conditionalFormatting sqref="E47">
    <cfRule type="expression" dxfId="113" priority="359">
      <formula>$G$6="SPZ"</formula>
    </cfRule>
  </conditionalFormatting>
  <conditionalFormatting sqref="E44">
    <cfRule type="expression" dxfId="112" priority="352">
      <formula>$G$6="RZ"</formula>
    </cfRule>
  </conditionalFormatting>
  <conditionalFormatting sqref="E46">
    <cfRule type="expression" dxfId="111" priority="213">
      <formula>$G$6="RZ"</formula>
    </cfRule>
  </conditionalFormatting>
  <conditionalFormatting sqref="L44">
    <cfRule type="expression" dxfId="110" priority="299">
      <formula>ISERR($L$46)</formula>
    </cfRule>
  </conditionalFormatting>
  <conditionalFormatting sqref="L45">
    <cfRule type="expression" dxfId="109" priority="298">
      <formula>ISERR($L$46)</formula>
    </cfRule>
  </conditionalFormatting>
  <conditionalFormatting sqref="Y19">
    <cfRule type="expression" dxfId="108" priority="280">
      <formula>ISERR(AE19)</formula>
    </cfRule>
  </conditionalFormatting>
  <conditionalFormatting sqref="Y20:Y43">
    <cfRule type="expression" dxfId="107" priority="279">
      <formula>ISERR(AE20)</formula>
    </cfRule>
  </conditionalFormatting>
  <conditionalFormatting sqref="S41:S43">
    <cfRule type="expression" dxfId="106" priority="270">
      <formula>$U41="t2?"</formula>
    </cfRule>
  </conditionalFormatting>
  <conditionalFormatting sqref="AN45:AN46">
    <cfRule type="cellIs" dxfId="105" priority="236" operator="equal">
      <formula>"Ja"</formula>
    </cfRule>
  </conditionalFormatting>
  <conditionalFormatting sqref="AE45:AE46">
    <cfRule type="expression" dxfId="104" priority="443">
      <formula>AN45="Ja"</formula>
    </cfRule>
  </conditionalFormatting>
  <conditionalFormatting sqref="AE47">
    <cfRule type="expression" dxfId="103" priority="444">
      <formula>AND(AN45="Ja",ISBLANK($AG$47))</formula>
    </cfRule>
  </conditionalFormatting>
  <conditionalFormatting sqref="AJ47">
    <cfRule type="expression" dxfId="102" priority="445">
      <formula>AND(AN45="Ja",ISBLANK($AL$47))</formula>
    </cfRule>
  </conditionalFormatting>
  <conditionalFormatting sqref="AG47">
    <cfRule type="expression" dxfId="101" priority="235">
      <formula>AND(AN45="Ja",ISBLANK($AG$47))</formula>
    </cfRule>
  </conditionalFormatting>
  <conditionalFormatting sqref="AL47">
    <cfRule type="expression" dxfId="100" priority="234">
      <formula>AND(AN45="Ja",ISBLANK($AL$47))</formula>
    </cfRule>
  </conditionalFormatting>
  <conditionalFormatting sqref="G8">
    <cfRule type="expression" dxfId="99" priority="233">
      <formula>NOT(OR(G8="J",G8="N"))</formula>
    </cfRule>
  </conditionalFormatting>
  <conditionalFormatting sqref="S31:S39">
    <cfRule type="expression" dxfId="98" priority="227">
      <formula>$R31="t1?"</formula>
    </cfRule>
  </conditionalFormatting>
  <conditionalFormatting sqref="S40">
    <cfRule type="expression" dxfId="97" priority="226">
      <formula>$U40="t2?"</formula>
    </cfRule>
  </conditionalFormatting>
  <conditionalFormatting sqref="H47">
    <cfRule type="expression" dxfId="96" priority="221">
      <formula>$G$6="SPZ"</formula>
    </cfRule>
  </conditionalFormatting>
  <conditionalFormatting sqref="L47">
    <cfRule type="expression" dxfId="95" priority="220">
      <formula>$G$6="SPZ"</formula>
    </cfRule>
  </conditionalFormatting>
  <conditionalFormatting sqref="O46">
    <cfRule type="expression" dxfId="94" priority="219">
      <formula>$G$6="SPZ"</formula>
    </cfRule>
  </conditionalFormatting>
  <conditionalFormatting sqref="O47">
    <cfRule type="expression" dxfId="93" priority="218">
      <formula>$G$6="SPZ"</formula>
    </cfRule>
  </conditionalFormatting>
  <conditionalFormatting sqref="R46">
    <cfRule type="expression" dxfId="92" priority="217">
      <formula>$G$6="SPZ"</formula>
    </cfRule>
  </conditionalFormatting>
  <conditionalFormatting sqref="R47">
    <cfRule type="expression" dxfId="91" priority="216">
      <formula>$G$6="SPZ"</formula>
    </cfRule>
  </conditionalFormatting>
  <conditionalFormatting sqref="X47">
    <cfRule type="expression" dxfId="90" priority="215">
      <formula>$G$6="SPZ"</formula>
    </cfRule>
  </conditionalFormatting>
  <conditionalFormatting sqref="AA47">
    <cfRule type="expression" dxfId="89" priority="214">
      <formula>$G$6="SPZ"</formula>
    </cfRule>
  </conditionalFormatting>
  <conditionalFormatting sqref="H46">
    <cfRule type="expression" dxfId="88" priority="212">
      <formula>$G$6="RZ"</formula>
    </cfRule>
  </conditionalFormatting>
  <conditionalFormatting sqref="O44">
    <cfRule type="expression" dxfId="87" priority="211">
      <formula>$G$6="RZ"</formula>
    </cfRule>
  </conditionalFormatting>
  <conditionalFormatting sqref="O45">
    <cfRule type="expression" dxfId="86" priority="210">
      <formula>$G$6="RZ"</formula>
    </cfRule>
  </conditionalFormatting>
  <conditionalFormatting sqref="R44">
    <cfRule type="expression" dxfId="85" priority="209">
      <formula>$G$6="RZ"</formula>
    </cfRule>
  </conditionalFormatting>
  <conditionalFormatting sqref="R45">
    <cfRule type="expression" dxfId="84" priority="208">
      <formula>$G$6="RZ"</formula>
    </cfRule>
  </conditionalFormatting>
  <conditionalFormatting sqref="C44:D45">
    <cfRule type="expression" dxfId="83" priority="207">
      <formula>$G$6="RZ"</formula>
    </cfRule>
  </conditionalFormatting>
  <conditionalFormatting sqref="C46:D46">
    <cfRule type="expression" dxfId="82" priority="206">
      <formula>$G$6="RZ"</formula>
    </cfRule>
  </conditionalFormatting>
  <conditionalFormatting sqref="F46:G46">
    <cfRule type="expression" dxfId="81" priority="205">
      <formula>$G$6="RZ"</formula>
    </cfRule>
  </conditionalFormatting>
  <conditionalFormatting sqref="M45:N45">
    <cfRule type="expression" dxfId="80" priority="204">
      <formula>$G$6="RZ"</formula>
    </cfRule>
  </conditionalFormatting>
  <conditionalFormatting sqref="P45:Q45">
    <cfRule type="expression" dxfId="79" priority="203">
      <formula>$G$6="RZ"</formula>
    </cfRule>
  </conditionalFormatting>
  <conditionalFormatting sqref="M44:N44">
    <cfRule type="expression" dxfId="78" priority="202">
      <formula>$G$6="RZ"</formula>
    </cfRule>
  </conditionalFormatting>
  <conditionalFormatting sqref="P44:Q44">
    <cfRule type="expression" dxfId="77" priority="201">
      <formula>$G$6="RZ"</formula>
    </cfRule>
  </conditionalFormatting>
  <conditionalFormatting sqref="C47:D47">
    <cfRule type="expression" dxfId="76" priority="200">
      <formula>$G$6="SPZ"</formula>
    </cfRule>
  </conditionalFormatting>
  <conditionalFormatting sqref="F47:G47">
    <cfRule type="expression" dxfId="75" priority="199">
      <formula>$G$6="SPZ"</formula>
    </cfRule>
  </conditionalFormatting>
  <conditionalFormatting sqref="I47">
    <cfRule type="expression" dxfId="74" priority="198">
      <formula>$G$6="SPZ"</formula>
    </cfRule>
  </conditionalFormatting>
  <conditionalFormatting sqref="M46:N46">
    <cfRule type="expression" dxfId="73" priority="197">
      <formula>$G$6="SPZ"</formula>
    </cfRule>
  </conditionalFormatting>
  <conditionalFormatting sqref="M47:N47">
    <cfRule type="expression" dxfId="72" priority="196">
      <formula>$G$6="SPZ"</formula>
    </cfRule>
  </conditionalFormatting>
  <conditionalFormatting sqref="P47:Q47">
    <cfRule type="expression" dxfId="71" priority="195">
      <formula>$G$6="SPZ"</formula>
    </cfRule>
  </conditionalFormatting>
  <conditionalFormatting sqref="P46:Q46">
    <cfRule type="expression" dxfId="70" priority="194">
      <formula>$G$6="SPZ"</formula>
    </cfRule>
  </conditionalFormatting>
  <conditionalFormatting sqref="AF45:AM46">
    <cfRule type="expression" dxfId="69" priority="447">
      <formula>BG45="Ja"</formula>
    </cfRule>
  </conditionalFormatting>
  <conditionalFormatting sqref="AF47">
    <cfRule type="expression" dxfId="68" priority="449">
      <formula>AND(BG45="Ja",ISBLANK($AG$47))</formula>
    </cfRule>
  </conditionalFormatting>
  <conditionalFormatting sqref="AK47">
    <cfRule type="expression" dxfId="67" priority="451">
      <formula>AND(BG45="Ja",ISBLANK($AL$47))</formula>
    </cfRule>
  </conditionalFormatting>
  <conditionalFormatting sqref="AH47:AI47">
    <cfRule type="expression" dxfId="66" priority="453">
      <formula>AND(BG45="Ja",ISBLANK($AG$47))</formula>
    </cfRule>
  </conditionalFormatting>
  <conditionalFormatting sqref="AM47:AN47">
    <cfRule type="expression" dxfId="65" priority="458">
      <formula>AND(BG45="Ja",ISBLANK($AL$47))</formula>
    </cfRule>
  </conditionalFormatting>
  <conditionalFormatting sqref="W21">
    <cfRule type="expression" dxfId="64" priority="150">
      <formula>CELL("Schutz",W21)</formula>
    </cfRule>
  </conditionalFormatting>
  <conditionalFormatting sqref="V21">
    <cfRule type="expression" dxfId="63" priority="151">
      <formula>$R21="t1?"</formula>
    </cfRule>
  </conditionalFormatting>
  <conditionalFormatting sqref="V22 V31:V43 V26:V29">
    <cfRule type="expression" dxfId="62" priority="179">
      <formula>$R22="t1?"</formula>
    </cfRule>
  </conditionalFormatting>
  <conditionalFormatting sqref="P41:P43">
    <cfRule type="expression" dxfId="61" priority="174">
      <formula>$U41="t2?"</formula>
    </cfRule>
  </conditionalFormatting>
  <conditionalFormatting sqref="P31:P39">
    <cfRule type="expression" dxfId="60" priority="172">
      <formula>$R31="t1?"</formula>
    </cfRule>
  </conditionalFormatting>
  <conditionalFormatting sqref="P40">
    <cfRule type="expression" dxfId="59" priority="171">
      <formula>$U40="t2?"</formula>
    </cfRule>
  </conditionalFormatting>
  <conditionalFormatting sqref="AE44:AN44">
    <cfRule type="containsText" dxfId="58"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7" priority="142">
      <formula>$R19="t1?"</formula>
    </cfRule>
  </conditionalFormatting>
  <conditionalFormatting sqref="P20:P28">
    <cfRule type="expression" dxfId="56" priority="141">
      <formula>$R20="t1?"</formula>
    </cfRule>
  </conditionalFormatting>
  <conditionalFormatting sqref="P19:P28">
    <cfRule type="expression" dxfId="55" priority="138">
      <formula>CELL("Schutz",P19)</formula>
    </cfRule>
  </conditionalFormatting>
  <conditionalFormatting sqref="V19">
    <cfRule type="expression" dxfId="54" priority="131">
      <formula>$R19="t1?"</formula>
    </cfRule>
  </conditionalFormatting>
  <conditionalFormatting sqref="V19">
    <cfRule type="expression" dxfId="53" priority="130">
      <formula>CELL("Schutz",V19)</formula>
    </cfRule>
  </conditionalFormatting>
  <conditionalFormatting sqref="P29">
    <cfRule type="expression" dxfId="52" priority="128">
      <formula>$R29="t1?"</formula>
    </cfRule>
  </conditionalFormatting>
  <conditionalFormatting sqref="S29">
    <cfRule type="expression" dxfId="51" priority="127">
      <formula>$R29="t1?"</formula>
    </cfRule>
  </conditionalFormatting>
  <conditionalFormatting sqref="P30">
    <cfRule type="expression" dxfId="50" priority="126">
      <formula>$R30="t1?"</formula>
    </cfRule>
  </conditionalFormatting>
  <conditionalFormatting sqref="S30">
    <cfRule type="expression" dxfId="49" priority="125">
      <formula>$R30="t1?"</formula>
    </cfRule>
  </conditionalFormatting>
  <conditionalFormatting sqref="V30">
    <cfRule type="expression" dxfId="48" priority="124">
      <formula>$R30="t1?"</formula>
    </cfRule>
  </conditionalFormatting>
  <conditionalFormatting sqref="I19:I43">
    <cfRule type="aboveAverage" dxfId="47" priority="122" aboveAverage="0"/>
    <cfRule type="aboveAverage" dxfId="46" priority="123"/>
  </conditionalFormatting>
  <conditionalFormatting sqref="G20:G43">
    <cfRule type="expression" dxfId="45" priority="116">
      <formula>AND(BI10=TRUE,BH10=TRUE)</formula>
    </cfRule>
  </conditionalFormatting>
  <conditionalFormatting sqref="G19:G43">
    <cfRule type="expression" dxfId="44" priority="459">
      <formula>AND(G19="X",$BJ$9=TRUE,$BI$9=TRUE)</formula>
    </cfRule>
  </conditionalFormatting>
  <conditionalFormatting sqref="G20:G43">
    <cfRule type="expression" dxfId="43" priority="460">
      <formula>AND($BJ$9=TRUE,$BI$9=TRUE)</formula>
    </cfRule>
  </conditionalFormatting>
  <conditionalFormatting sqref="V25">
    <cfRule type="expression" dxfId="42" priority="103">
      <formula>$R25="t1?"</formula>
    </cfRule>
  </conditionalFormatting>
  <conditionalFormatting sqref="W25:W27">
    <cfRule type="expression" dxfId="40" priority="91">
      <formula>CELL("Schutz",W25)</formula>
    </cfRule>
  </conditionalFormatting>
  <conditionalFormatting sqref="T27">
    <cfRule type="expression" dxfId="39" priority="89">
      <formula>CELL("Schutz",T27)</formula>
    </cfRule>
  </conditionalFormatting>
  <conditionalFormatting sqref="Q21">
    <cfRule type="expression" dxfId="38" priority="81">
      <formula>CELL("Schutz",Q21)</formula>
    </cfRule>
  </conditionalFormatting>
  <conditionalFormatting sqref="S19:S28">
    <cfRule type="expression" dxfId="32" priority="63">
      <formula>$R19="t1?"</formula>
    </cfRule>
  </conditionalFormatting>
  <conditionalFormatting sqref="S19:S28">
    <cfRule type="expression" dxfId="31" priority="62">
      <formula>CELL("Schutz",S19)</formula>
    </cfRule>
  </conditionalFormatting>
  <conditionalFormatting sqref="V24">
    <cfRule type="expression" dxfId="24" priority="45">
      <formula>$R24="t1?"</formula>
    </cfRule>
  </conditionalFormatting>
  <conditionalFormatting sqref="V24">
    <cfRule type="expression" dxfId="23" priority="44">
      <formula>CELL("Schutz",V24)</formula>
    </cfRule>
  </conditionalFormatting>
  <conditionalFormatting sqref="W24">
    <cfRule type="expression" dxfId="22" priority="43">
      <formula>CELL("Schutz",W24)</formula>
    </cfRule>
  </conditionalFormatting>
  <conditionalFormatting sqref="W23">
    <cfRule type="expression" dxfId="21" priority="41">
      <formula>CELL("Schutz",W23)</formula>
    </cfRule>
  </conditionalFormatting>
  <conditionalFormatting sqref="V23">
    <cfRule type="expression" dxfId="20" priority="40">
      <formula>$R23="t1?"</formula>
    </cfRule>
  </conditionalFormatting>
  <conditionalFormatting sqref="V23">
    <cfRule type="expression" dxfId="19" priority="39">
      <formula>CELL("Schutz",V23)</formula>
    </cfRule>
  </conditionalFormatting>
  <conditionalFormatting sqref="V20">
    <cfRule type="expression" dxfId="18" priority="32">
      <formula>$R20="t1?"</formula>
    </cfRule>
  </conditionalFormatting>
  <conditionalFormatting sqref="Q19">
    <cfRule type="expression" dxfId="17" priority="28">
      <formula>CELL("Schutz",Q19)</formula>
    </cfRule>
  </conditionalFormatting>
  <conditionalFormatting sqref="W19">
    <cfRule type="expression" dxfId="16" priority="26">
      <formula>CELL("Schutz",W19)</formula>
    </cfRule>
  </conditionalFormatting>
  <conditionalFormatting sqref="Q20">
    <cfRule type="expression" dxfId="15" priority="25">
      <formula>CELL("Schutz",Q20)</formula>
    </cfRule>
  </conditionalFormatting>
  <conditionalFormatting sqref="T19">
    <cfRule type="expression" dxfId="14" priority="19">
      <formula>CELL("Schutz",T19)</formula>
    </cfRule>
  </conditionalFormatting>
  <conditionalFormatting sqref="T20">
    <cfRule type="expression" dxfId="13" priority="18">
      <formula>CELL("Schutz",T20)</formula>
    </cfRule>
  </conditionalFormatting>
  <conditionalFormatting sqref="AR8:AU8">
    <cfRule type="expression" dxfId="12" priority="12">
      <formula>OR(AND(ISBLANK($AR$8),COUNTBLANK($AH$8:$AN$8)&lt;7),AND(ISBLANK($AR$8),$BF$44&gt;0))</formula>
    </cfRule>
  </conditionalFormatting>
  <conditionalFormatting sqref="AY8:BB8">
    <cfRule type="expression" dxfId="11" priority="10">
      <formula>OR(AND(ISBLANK($AY$8),COUNTBLANK($AH$8:$AN$8)&lt;7),AND(ISBLANK($AY$8),$BF$44&gt;0))</formula>
    </cfRule>
  </conditionalFormatting>
  <conditionalFormatting sqref="AO8:AQ8">
    <cfRule type="expression" dxfId="10" priority="9">
      <formula>OR(COUNTBLANK($AH$8:$AN$8)&lt;7,$BF$44&gt;0)</formula>
    </cfRule>
  </conditionalFormatting>
  <conditionalFormatting sqref="AV8:AX8">
    <cfRule type="expression" dxfId="9" priority="8">
      <formula>OR(COUNTBLANK($AH$8:$AN$8)&lt;7,$BF$44&gt;0)</formula>
    </cfRule>
  </conditionalFormatting>
  <conditionalFormatting sqref="AK8">
    <cfRule type="expression" dxfId="8" priority="7">
      <formula>AND($BF$44&gt;0,ISBLANK(AK8))</formula>
    </cfRule>
  </conditionalFormatting>
  <conditionalFormatting sqref="AL8">
    <cfRule type="expression" dxfId="7" priority="6">
      <formula>AND($BF$44&gt;0,ISBLANK(AL8))</formula>
    </cfRule>
  </conditionalFormatting>
  <conditionalFormatting sqref="AM8">
    <cfRule type="expression" dxfId="6" priority="5">
      <formula>AND($BF$44&gt;0,ISBLANK(AM8))</formula>
    </cfRule>
  </conditionalFormatting>
  <conditionalFormatting sqref="AN8">
    <cfRule type="expression" dxfId="5" priority="4">
      <formula>AND($BF$44&gt;0,ISBLANK(AN8))</formula>
    </cfRule>
  </conditionalFormatting>
  <conditionalFormatting sqref="W20">
    <cfRule type="expression" dxfId="4" priority="3">
      <formula>CELL("Schutz",W20)</formula>
    </cfRule>
  </conditionalFormatting>
  <conditionalFormatting sqref="Q22:Q27">
    <cfRule type="expression" dxfId="3" priority="2">
      <formula>CELL("Schutz",Q22)</formula>
    </cfRule>
  </conditionalFormatting>
  <conditionalFormatting sqref="T21:T26">
    <cfRule type="expression" dxfId="1" priority="1">
      <formula>CELL("Schutz",T21)</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6"/>
      <c r="E1472" s="259"/>
    </row>
    <row r="1473" spans="1:5" ht="12.75" customHeight="1">
      <c r="A1473" s="6" t="s">
        <v>85</v>
      </c>
      <c r="B1473" s="7">
        <v>1250</v>
      </c>
      <c r="C1473" s="1084"/>
      <c r="D1473" s="436"/>
      <c r="E1473" s="259"/>
    </row>
    <row r="1474" spans="1:5" ht="12.75" customHeight="1">
      <c r="A1474" s="6" t="s">
        <v>1130</v>
      </c>
      <c r="B1474" s="7">
        <v>1250</v>
      </c>
      <c r="C1474" s="1084"/>
      <c r="D1474" s="436"/>
      <c r="E1474" s="259"/>
    </row>
    <row r="1475" spans="1:5" ht="12.75" customHeight="1">
      <c r="A1475" s="6" t="s">
        <v>1131</v>
      </c>
      <c r="B1475" s="7">
        <v>1250</v>
      </c>
      <c r="C1475" s="1084"/>
      <c r="D1475" s="436"/>
      <c r="E1475" s="259"/>
    </row>
    <row r="1476" spans="1:5" ht="12.75" customHeight="1">
      <c r="A1476" s="6" t="s">
        <v>1132</v>
      </c>
      <c r="B1476" s="7">
        <v>1250</v>
      </c>
      <c r="C1476" s="1084"/>
      <c r="D1476" s="436"/>
      <c r="E1476" s="259"/>
    </row>
    <row r="1477" spans="1:5" ht="12.75" customHeight="1">
      <c r="A1477" s="6" t="s">
        <v>1133</v>
      </c>
      <c r="B1477" s="7">
        <v>1250</v>
      </c>
      <c r="C1477" s="1084"/>
      <c r="D1477" s="436"/>
      <c r="E1477" s="259"/>
    </row>
    <row r="1478" spans="1:5" ht="12.75" customHeight="1" thickBot="1">
      <c r="A1478" s="485" t="s">
        <v>1281</v>
      </c>
      <c r="B1478" s="489">
        <v>1550</v>
      </c>
      <c r="C1478" s="1085"/>
      <c r="D1478" s="436"/>
      <c r="E1478" s="259"/>
    </row>
    <row r="1479" spans="1:5" ht="12.75" customHeight="1">
      <c r="A1479" s="6" t="s">
        <v>1806</v>
      </c>
      <c r="B1479" s="7">
        <v>1000</v>
      </c>
      <c r="C1479" s="1084" t="s">
        <v>1805</v>
      </c>
      <c r="D1479" s="436"/>
      <c r="E1479" s="260"/>
    </row>
    <row r="1480" spans="1:5" ht="12.75" customHeight="1">
      <c r="A1480" s="256" t="s">
        <v>1807</v>
      </c>
      <c r="B1480" s="488">
        <v>1000</v>
      </c>
      <c r="C1480" s="1084"/>
      <c r="D1480" s="436"/>
      <c r="E1480" s="260"/>
    </row>
    <row r="1481" spans="1:5" ht="12.75" customHeight="1">
      <c r="A1481" s="256" t="s">
        <v>1808</v>
      </c>
      <c r="B1481" s="488">
        <v>1000</v>
      </c>
      <c r="C1481" s="1084"/>
      <c r="D1481" s="436"/>
      <c r="E1481" s="260"/>
    </row>
    <row r="1482" spans="1:5" ht="12.75" customHeight="1">
      <c r="A1482" s="256" t="s">
        <v>1809</v>
      </c>
      <c r="B1482" s="488">
        <v>1000</v>
      </c>
      <c r="C1482" s="1084"/>
      <c r="D1482" s="436"/>
      <c r="E1482" s="260"/>
    </row>
    <row r="1483" spans="1:5" ht="12.75" customHeight="1">
      <c r="A1483" s="256" t="s">
        <v>1810</v>
      </c>
      <c r="B1483" s="488">
        <v>1000</v>
      </c>
      <c r="C1483" s="1084"/>
      <c r="D1483" s="436"/>
      <c r="E1483" s="260"/>
    </row>
    <row r="1484" spans="1:5" ht="12.75" customHeight="1">
      <c r="A1484" s="256" t="s">
        <v>1811</v>
      </c>
      <c r="B1484" s="488">
        <v>1000</v>
      </c>
      <c r="C1484" s="1084"/>
      <c r="D1484" s="436"/>
      <c r="E1484" s="260"/>
    </row>
    <row r="1485" spans="1:5" ht="12.75" customHeight="1">
      <c r="A1485" s="256" t="s">
        <v>1812</v>
      </c>
      <c r="B1485" s="488">
        <v>1000</v>
      </c>
      <c r="C1485" s="1084"/>
      <c r="D1485" s="436"/>
      <c r="E1485" s="260"/>
    </row>
    <row r="1486" spans="1:5" ht="12.75" customHeight="1">
      <c r="A1486" s="256" t="s">
        <v>1813</v>
      </c>
      <c r="B1486" s="488">
        <v>1000</v>
      </c>
      <c r="C1486" s="1084"/>
      <c r="D1486" s="436"/>
      <c r="E1486" s="260"/>
    </row>
    <row r="1487" spans="1:5" ht="12.75" customHeight="1">
      <c r="A1487" s="256" t="s">
        <v>1814</v>
      </c>
      <c r="B1487" s="488">
        <v>1000</v>
      </c>
      <c r="C1487" s="1084"/>
      <c r="D1487" s="436"/>
      <c r="E1487" s="260"/>
    </row>
    <row r="1488" spans="1:5" ht="12.75" customHeight="1">
      <c r="A1488" s="256" t="s">
        <v>1815</v>
      </c>
      <c r="B1488" s="488">
        <v>1000</v>
      </c>
      <c r="C1488" s="1084"/>
      <c r="D1488" s="436"/>
      <c r="E1488" s="260"/>
    </row>
    <row r="1489" spans="1:5" ht="12.75" customHeight="1">
      <c r="A1489" s="256" t="s">
        <v>1816</v>
      </c>
      <c r="B1489" s="488">
        <v>1250</v>
      </c>
      <c r="C1489" s="1084"/>
      <c r="D1489" s="436"/>
      <c r="E1489" s="260"/>
    </row>
    <row r="1490" spans="1:5" ht="12.75" customHeight="1">
      <c r="A1490" s="256" t="s">
        <v>1817</v>
      </c>
      <c r="B1490" s="488">
        <v>1250</v>
      </c>
      <c r="C1490" s="1084"/>
      <c r="D1490" s="436"/>
      <c r="E1490" s="260"/>
    </row>
    <row r="1491" spans="1:5" ht="12.75" customHeight="1">
      <c r="A1491" s="256" t="s">
        <v>1818</v>
      </c>
      <c r="B1491" s="488">
        <v>1250</v>
      </c>
      <c r="C1491" s="1084"/>
      <c r="D1491" s="436"/>
      <c r="E1491" s="260"/>
    </row>
    <row r="1492" spans="1:5" ht="12.75" customHeight="1">
      <c r="A1492" s="256" t="s">
        <v>1819</v>
      </c>
      <c r="B1492" s="488">
        <v>1250</v>
      </c>
      <c r="C1492" s="1084"/>
      <c r="D1492" s="436"/>
      <c r="E1492" s="260"/>
    </row>
    <row r="1493" spans="1:5" ht="12.75" customHeight="1">
      <c r="A1493" s="256" t="s">
        <v>1820</v>
      </c>
      <c r="B1493" s="488">
        <v>1250</v>
      </c>
      <c r="C1493" s="1084"/>
      <c r="D1493" s="436"/>
      <c r="E1493" s="260"/>
    </row>
    <row r="1494" spans="1:5" ht="12.75" customHeight="1">
      <c r="A1494" s="256" t="s">
        <v>1821</v>
      </c>
      <c r="B1494" s="488">
        <v>1250</v>
      </c>
      <c r="C1494" s="1084"/>
      <c r="D1494" s="436"/>
      <c r="E1494" s="260"/>
    </row>
    <row r="1495" spans="1:5" ht="12.75" customHeight="1">
      <c r="A1495" s="256" t="s">
        <v>1822</v>
      </c>
      <c r="B1495" s="488">
        <v>1250</v>
      </c>
      <c r="C1495" s="1084"/>
      <c r="D1495" s="436"/>
      <c r="E1495" s="260"/>
    </row>
    <row r="1496" spans="1:5" ht="12.75" customHeight="1">
      <c r="A1496" s="256" t="s">
        <v>1823</v>
      </c>
      <c r="B1496" s="488">
        <v>1250</v>
      </c>
      <c r="C1496" s="1084"/>
      <c r="D1496" s="436"/>
      <c r="E1496" s="260"/>
    </row>
    <row r="1497" spans="1:5" ht="12.75" customHeight="1">
      <c r="A1497" s="256" t="s">
        <v>1824</v>
      </c>
      <c r="B1497" s="488">
        <v>1250</v>
      </c>
      <c r="C1497" s="1084"/>
      <c r="D1497" s="436"/>
      <c r="E1497" s="260"/>
    </row>
    <row r="1498" spans="1:5" ht="12.75" customHeight="1">
      <c r="A1498" s="256" t="s">
        <v>1825</v>
      </c>
      <c r="B1498" s="488">
        <v>1250</v>
      </c>
      <c r="C1498" s="1084"/>
      <c r="D1498" s="436"/>
      <c r="E1498" s="260"/>
    </row>
    <row r="1499" spans="1:5" ht="12.75" customHeight="1">
      <c r="A1499" s="256" t="s">
        <v>1826</v>
      </c>
      <c r="B1499" s="488">
        <v>1250</v>
      </c>
      <c r="C1499" s="1084"/>
      <c r="D1499" s="436"/>
      <c r="E1499" s="260"/>
    </row>
    <row r="1500" spans="1:5" ht="12.75" customHeight="1">
      <c r="A1500" s="256" t="s">
        <v>1827</v>
      </c>
      <c r="B1500" s="488">
        <v>1250</v>
      </c>
      <c r="C1500" s="1084"/>
      <c r="D1500" s="436"/>
      <c r="E1500" s="260"/>
    </row>
    <row r="1501" spans="1:5" ht="12.75" customHeight="1">
      <c r="A1501" s="256" t="s">
        <v>1828</v>
      </c>
      <c r="B1501" s="488">
        <v>1250</v>
      </c>
      <c r="C1501" s="1084"/>
      <c r="D1501" s="436"/>
      <c r="E1501" s="260"/>
    </row>
    <row r="1502" spans="1:5" ht="12.75" customHeight="1">
      <c r="A1502" s="256" t="s">
        <v>1829</v>
      </c>
      <c r="B1502" s="488">
        <v>1250</v>
      </c>
      <c r="C1502" s="1084"/>
      <c r="D1502" s="436"/>
      <c r="E1502" s="260"/>
    </row>
    <row r="1503" spans="1:5" ht="12.75" customHeight="1">
      <c r="A1503" s="256" t="s">
        <v>1830</v>
      </c>
      <c r="B1503" s="488">
        <v>1250</v>
      </c>
      <c r="C1503" s="1084"/>
      <c r="D1503" s="436"/>
      <c r="E1503" s="260"/>
    </row>
    <row r="1504" spans="1:5" ht="12.75" customHeight="1">
      <c r="A1504" s="256" t="s">
        <v>1831</v>
      </c>
      <c r="B1504" s="488">
        <v>1250</v>
      </c>
      <c r="C1504" s="1084"/>
      <c r="D1504" s="436"/>
      <c r="E1504" s="260"/>
    </row>
    <row r="1505" spans="1:5" ht="12.75" customHeight="1">
      <c r="A1505" s="256" t="s">
        <v>1832</v>
      </c>
      <c r="B1505" s="488">
        <v>1250</v>
      </c>
      <c r="C1505" s="1084"/>
      <c r="D1505" s="436"/>
      <c r="E1505" s="260"/>
    </row>
    <row r="1506" spans="1:5" ht="12.75" customHeight="1">
      <c r="A1506" s="256" t="s">
        <v>1833</v>
      </c>
      <c r="B1506" s="488">
        <v>1250</v>
      </c>
      <c r="C1506" s="1084"/>
      <c r="D1506" s="436"/>
      <c r="E1506" s="260"/>
    </row>
    <row r="1507" spans="1:5" ht="12.75" customHeight="1">
      <c r="A1507" s="256" t="s">
        <v>1834</v>
      </c>
      <c r="B1507" s="488">
        <v>1250</v>
      </c>
      <c r="C1507" s="1084"/>
      <c r="D1507" s="436"/>
      <c r="E1507" s="260"/>
    </row>
    <row r="1508" spans="1:5" ht="12.75" customHeight="1">
      <c r="A1508" s="256" t="s">
        <v>1835</v>
      </c>
      <c r="B1508" s="488">
        <v>1400</v>
      </c>
      <c r="C1508" s="1084"/>
      <c r="D1508" s="436"/>
      <c r="E1508" s="260"/>
    </row>
    <row r="1509" spans="1:5" ht="12.75" customHeight="1">
      <c r="A1509" s="256" t="s">
        <v>1836</v>
      </c>
      <c r="B1509" s="488">
        <v>1400</v>
      </c>
      <c r="C1509" s="1084"/>
      <c r="D1509" s="436"/>
      <c r="E1509" s="260"/>
    </row>
    <row r="1510" spans="1:5" ht="12.75" customHeight="1">
      <c r="A1510" s="256" t="s">
        <v>1837</v>
      </c>
      <c r="B1510" s="488">
        <v>1400</v>
      </c>
      <c r="C1510" s="1084"/>
      <c r="D1510" s="436"/>
      <c r="E1510" s="260"/>
    </row>
    <row r="1511" spans="1:5" ht="12.75" customHeight="1">
      <c r="A1511" s="256" t="s">
        <v>1838</v>
      </c>
      <c r="B1511" s="488">
        <v>1250</v>
      </c>
      <c r="C1511" s="1084"/>
      <c r="D1511" s="436"/>
      <c r="E1511" s="260"/>
    </row>
    <row r="1512" spans="1:5" ht="12.75" customHeight="1">
      <c r="A1512" s="256" t="s">
        <v>1839</v>
      </c>
      <c r="B1512" s="488">
        <v>1250</v>
      </c>
      <c r="C1512" s="1084"/>
      <c r="D1512" s="436"/>
      <c r="E1512" s="260"/>
    </row>
    <row r="1513" spans="1:5" ht="12.75" customHeight="1">
      <c r="A1513" s="256" t="s">
        <v>1840</v>
      </c>
      <c r="B1513" s="488">
        <v>1250</v>
      </c>
      <c r="C1513" s="1084"/>
      <c r="D1513" s="436"/>
      <c r="E1513" s="260"/>
    </row>
    <row r="1514" spans="1:5" ht="12.75" customHeight="1">
      <c r="A1514" s="256" t="s">
        <v>1841</v>
      </c>
      <c r="B1514" s="488">
        <v>1250</v>
      </c>
      <c r="C1514" s="1084"/>
      <c r="D1514" s="436"/>
      <c r="E1514" s="260"/>
    </row>
    <row r="1515" spans="1:5" ht="12.75" customHeight="1">
      <c r="A1515" s="256" t="s">
        <v>1842</v>
      </c>
      <c r="B1515" s="488">
        <v>1250</v>
      </c>
      <c r="C1515" s="1084"/>
      <c r="D1515" s="436"/>
      <c r="E1515" s="260"/>
    </row>
    <row r="1516" spans="1:5" ht="12.75" customHeight="1">
      <c r="A1516" s="256" t="s">
        <v>1843</v>
      </c>
      <c r="B1516" s="488">
        <v>1250</v>
      </c>
      <c r="C1516" s="1084"/>
      <c r="D1516" s="436"/>
      <c r="E1516" s="260"/>
    </row>
    <row r="1517" spans="1:5" ht="12.75" customHeight="1">
      <c r="A1517" s="256" t="s">
        <v>1844</v>
      </c>
      <c r="B1517" s="488">
        <v>1250</v>
      </c>
      <c r="C1517" s="1084"/>
      <c r="D1517" s="436"/>
      <c r="E1517" s="260"/>
    </row>
    <row r="1518" spans="1:5" ht="12.75" customHeight="1">
      <c r="A1518" s="256" t="s">
        <v>1845</v>
      </c>
      <c r="B1518" s="488">
        <v>1450</v>
      </c>
      <c r="C1518" s="1084"/>
      <c r="D1518" s="436"/>
      <c r="E1518" s="260"/>
    </row>
    <row r="1519" spans="1:5" ht="12.75" customHeight="1">
      <c r="A1519" s="256" t="s">
        <v>1846</v>
      </c>
      <c r="B1519" s="488">
        <v>1450</v>
      </c>
      <c r="C1519" s="1084"/>
      <c r="D1519" s="436"/>
      <c r="E1519" s="260"/>
    </row>
    <row r="1520" spans="1:5" ht="12.75" customHeight="1">
      <c r="A1520" s="256" t="s">
        <v>1847</v>
      </c>
      <c r="B1520" s="488">
        <v>1450</v>
      </c>
      <c r="C1520" s="1084"/>
      <c r="D1520" s="436"/>
      <c r="E1520" s="260"/>
    </row>
    <row r="1521" spans="1:5" ht="12.75" customHeight="1">
      <c r="A1521" s="256" t="s">
        <v>1848</v>
      </c>
      <c r="B1521" s="488">
        <v>1450</v>
      </c>
      <c r="C1521" s="1084"/>
      <c r="D1521" s="436"/>
      <c r="E1521" s="260"/>
    </row>
    <row r="1522" spans="1:5" ht="12.75" customHeight="1">
      <c r="A1522" s="256" t="s">
        <v>1849</v>
      </c>
      <c r="B1522" s="488">
        <v>1450</v>
      </c>
      <c r="C1522" s="1084"/>
      <c r="D1522" s="436"/>
      <c r="E1522" s="260"/>
    </row>
    <row r="1523" spans="1:5" ht="12.75" customHeight="1">
      <c r="A1523" s="256" t="s">
        <v>1850</v>
      </c>
      <c r="B1523" s="488">
        <v>1450</v>
      </c>
      <c r="C1523" s="1084"/>
      <c r="D1523" s="436"/>
      <c r="E1523" s="260"/>
    </row>
    <row r="1524" spans="1:5" ht="12.75" customHeight="1">
      <c r="A1524" s="256" t="s">
        <v>1851</v>
      </c>
      <c r="B1524" s="488">
        <v>1450</v>
      </c>
      <c r="C1524" s="1084"/>
      <c r="D1524" s="436"/>
      <c r="E1524" s="260"/>
    </row>
    <row r="1525" spans="1:5" ht="12.75" customHeight="1">
      <c r="A1525" s="256" t="s">
        <v>1852</v>
      </c>
      <c r="B1525" s="488">
        <v>1450</v>
      </c>
      <c r="C1525" s="1084"/>
      <c r="D1525" s="436"/>
      <c r="E1525" s="260"/>
    </row>
    <row r="1526" spans="1:5" ht="12.75" customHeight="1">
      <c r="A1526" s="256" t="s">
        <v>1853</v>
      </c>
      <c r="B1526" s="488">
        <v>1450</v>
      </c>
      <c r="C1526" s="1084"/>
      <c r="D1526" s="436"/>
      <c r="E1526" s="260"/>
    </row>
    <row r="1527" spans="1:5" ht="12.75" customHeight="1">
      <c r="A1527" s="256" t="s">
        <v>1854</v>
      </c>
      <c r="B1527" s="488">
        <v>1450</v>
      </c>
      <c r="C1527" s="1084"/>
      <c r="D1527" s="436"/>
      <c r="E1527" s="260"/>
    </row>
    <row r="1528" spans="1:5" ht="12.75" customHeight="1">
      <c r="A1528" s="256" t="s">
        <v>1855</v>
      </c>
      <c r="B1528" s="488">
        <v>1450</v>
      </c>
      <c r="C1528" s="1084"/>
      <c r="D1528" s="436"/>
      <c r="E1528" s="260"/>
    </row>
    <row r="1529" spans="1:5" ht="12.75" customHeight="1">
      <c r="A1529" s="256" t="s">
        <v>1856</v>
      </c>
      <c r="B1529" s="488">
        <v>1450</v>
      </c>
      <c r="C1529" s="1084"/>
      <c r="D1529" s="436"/>
      <c r="E1529" s="260"/>
    </row>
    <row r="1530" spans="1:5" ht="12.75" customHeight="1">
      <c r="A1530" s="256" t="s">
        <v>1857</v>
      </c>
      <c r="B1530" s="488">
        <v>1450</v>
      </c>
      <c r="C1530" s="1084"/>
      <c r="D1530" s="436"/>
      <c r="E1530" s="260"/>
    </row>
    <row r="1531" spans="1:5" ht="12.75" customHeight="1">
      <c r="A1531" s="256" t="s">
        <v>1858</v>
      </c>
      <c r="B1531" s="488">
        <v>1450</v>
      </c>
      <c r="C1531" s="1084"/>
      <c r="D1531" s="436"/>
      <c r="E1531" s="260"/>
    </row>
    <row r="1532" spans="1:5" ht="12.75" customHeight="1">
      <c r="A1532" s="256" t="s">
        <v>1859</v>
      </c>
      <c r="B1532" s="488">
        <v>1450</v>
      </c>
      <c r="C1532" s="1084"/>
      <c r="D1532" s="436"/>
      <c r="E1532" s="260"/>
    </row>
    <row r="1533" spans="1:5" ht="12.75" customHeight="1">
      <c r="A1533" s="256" t="s">
        <v>1860</v>
      </c>
      <c r="B1533" s="488">
        <v>1450</v>
      </c>
      <c r="C1533" s="1084"/>
      <c r="D1533" s="436"/>
      <c r="E1533" s="260"/>
    </row>
    <row r="1534" spans="1:5" ht="12.75" customHeight="1">
      <c r="A1534" s="256" t="s">
        <v>1861</v>
      </c>
      <c r="B1534" s="488">
        <v>1450</v>
      </c>
      <c r="C1534" s="1084"/>
      <c r="D1534" s="436"/>
      <c r="E1534" s="260"/>
    </row>
    <row r="1535" spans="1:5" ht="12.75" customHeight="1">
      <c r="A1535" s="256" t="s">
        <v>1862</v>
      </c>
      <c r="B1535" s="488">
        <v>500</v>
      </c>
      <c r="C1535" s="1084"/>
      <c r="D1535" s="436"/>
      <c r="E1535" s="260"/>
    </row>
    <row r="1536" spans="1:5" ht="12.75" customHeight="1">
      <c r="A1536" s="256" t="s">
        <v>1863</v>
      </c>
      <c r="B1536" s="488">
        <v>500</v>
      </c>
      <c r="C1536" s="1084"/>
      <c r="D1536" s="436"/>
      <c r="E1536" s="260"/>
    </row>
    <row r="1537" spans="1:5" ht="12.75" customHeight="1">
      <c r="A1537" s="256" t="s">
        <v>1864</v>
      </c>
      <c r="B1537" s="488">
        <v>500</v>
      </c>
      <c r="C1537" s="1084"/>
      <c r="D1537" s="436"/>
      <c r="E1537" s="260"/>
    </row>
    <row r="1538" spans="1:5" ht="12.75" customHeight="1">
      <c r="A1538" s="256" t="s">
        <v>1865</v>
      </c>
      <c r="B1538" s="488">
        <v>500</v>
      </c>
      <c r="C1538" s="1084"/>
      <c r="D1538" s="436"/>
      <c r="E1538" s="260"/>
    </row>
    <row r="1539" spans="1:5" ht="12.75" customHeight="1">
      <c r="A1539" s="256" t="s">
        <v>1866</v>
      </c>
      <c r="B1539" s="488">
        <v>500</v>
      </c>
      <c r="C1539" s="1084"/>
      <c r="D1539" s="436"/>
      <c r="E1539" s="260"/>
    </row>
    <row r="1540" spans="1:5" ht="12.75" customHeight="1">
      <c r="A1540" s="256" t="s">
        <v>1867</v>
      </c>
      <c r="B1540" s="488">
        <v>500</v>
      </c>
      <c r="C1540" s="1084"/>
      <c r="D1540" s="436"/>
      <c r="E1540" s="260"/>
    </row>
    <row r="1541" spans="1:5" ht="12.75" customHeight="1">
      <c r="A1541" s="256" t="s">
        <v>1868</v>
      </c>
      <c r="B1541" s="488">
        <v>500</v>
      </c>
      <c r="C1541" s="1084"/>
      <c r="D1541" s="436"/>
      <c r="E1541" s="260"/>
    </row>
    <row r="1542" spans="1:5" ht="12.75" customHeight="1">
      <c r="A1542" s="256" t="s">
        <v>1869</v>
      </c>
      <c r="B1542" s="488">
        <v>500</v>
      </c>
      <c r="C1542" s="1084"/>
      <c r="D1542" s="436"/>
      <c r="E1542" s="260"/>
    </row>
    <row r="1543" spans="1:5" ht="12.75" customHeight="1">
      <c r="A1543" s="256" t="s">
        <v>1870</v>
      </c>
      <c r="B1543" s="488">
        <v>500</v>
      </c>
      <c r="C1543" s="1084"/>
      <c r="D1543" s="436"/>
      <c r="E1543" s="260"/>
    </row>
    <row r="1544" spans="1:5" ht="12.75" customHeight="1">
      <c r="A1544" s="256" t="s">
        <v>1871</v>
      </c>
      <c r="B1544" s="488">
        <v>500</v>
      </c>
      <c r="C1544" s="1084"/>
      <c r="D1544" s="436"/>
      <c r="E1544" s="260"/>
    </row>
    <row r="1545" spans="1:5" ht="12.75" customHeight="1">
      <c r="A1545" s="256" t="s">
        <v>1872</v>
      </c>
      <c r="B1545" s="488">
        <v>500</v>
      </c>
      <c r="C1545" s="1084"/>
      <c r="D1545" s="436"/>
      <c r="E1545" s="260"/>
    </row>
    <row r="1546" spans="1:5" ht="12.75" customHeight="1">
      <c r="A1546" s="256" t="s">
        <v>1873</v>
      </c>
      <c r="B1546" s="488">
        <v>600</v>
      </c>
      <c r="C1546" s="1084"/>
      <c r="D1546" s="436"/>
      <c r="E1546" s="260"/>
    </row>
    <row r="1547" spans="1:5" ht="12.75" customHeight="1">
      <c r="A1547" s="256" t="s">
        <v>1874</v>
      </c>
      <c r="B1547" s="488">
        <v>600</v>
      </c>
      <c r="C1547" s="1084"/>
      <c r="D1547" s="436"/>
      <c r="E1547" s="260"/>
    </row>
    <row r="1548" spans="1:5" ht="12.75" customHeight="1">
      <c r="A1548" s="256" t="s">
        <v>1875</v>
      </c>
      <c r="B1548" s="488">
        <v>600</v>
      </c>
      <c r="C1548" s="1084"/>
      <c r="D1548" s="436"/>
      <c r="E1548" s="260"/>
    </row>
    <row r="1549" spans="1:5" ht="12.75" customHeight="1">
      <c r="A1549" s="256" t="s">
        <v>1876</v>
      </c>
      <c r="B1549" s="488">
        <v>600</v>
      </c>
      <c r="C1549" s="1084"/>
      <c r="D1549" s="436"/>
      <c r="E1549" s="260"/>
    </row>
    <row r="1550" spans="1:5" ht="12.75" customHeight="1">
      <c r="A1550" s="256" t="s">
        <v>1877</v>
      </c>
      <c r="B1550" s="488">
        <v>600</v>
      </c>
      <c r="C1550" s="1084"/>
      <c r="D1550" s="436"/>
      <c r="E1550" s="260"/>
    </row>
    <row r="1551" spans="1:5" ht="12.75" customHeight="1">
      <c r="A1551" s="256" t="s">
        <v>1878</v>
      </c>
      <c r="B1551" s="488">
        <v>600</v>
      </c>
      <c r="C1551" s="1084"/>
      <c r="D1551" s="436"/>
      <c r="E1551" s="260"/>
    </row>
    <row r="1552" spans="1:5" ht="12.75" customHeight="1">
      <c r="A1552" s="256" t="s">
        <v>1879</v>
      </c>
      <c r="B1552" s="488">
        <v>600</v>
      </c>
      <c r="C1552" s="1084"/>
      <c r="D1552" s="436"/>
      <c r="E1552" s="260"/>
    </row>
    <row r="1553" spans="1:5" ht="12.75" customHeight="1">
      <c r="A1553" s="256" t="s">
        <v>1880</v>
      </c>
      <c r="B1553" s="488">
        <v>600</v>
      </c>
      <c r="C1553" s="1084"/>
      <c r="D1553" s="436"/>
      <c r="E1553" s="260"/>
    </row>
    <row r="1554" spans="1:5" ht="12.75" customHeight="1">
      <c r="A1554" s="256" t="s">
        <v>1881</v>
      </c>
      <c r="B1554" s="488">
        <v>600</v>
      </c>
      <c r="C1554" s="1084"/>
      <c r="D1554" s="436"/>
      <c r="E1554" s="260"/>
    </row>
    <row r="1555" spans="1:5" ht="12.75" customHeight="1">
      <c r="A1555" s="256" t="s">
        <v>1882</v>
      </c>
      <c r="B1555" s="488">
        <v>600</v>
      </c>
      <c r="C1555" s="1084"/>
      <c r="D1555" s="436"/>
      <c r="E1555" s="260"/>
    </row>
    <row r="1556" spans="1:5" ht="12.75" customHeight="1">
      <c r="A1556" s="256" t="s">
        <v>1883</v>
      </c>
      <c r="B1556" s="488">
        <v>600</v>
      </c>
      <c r="C1556" s="1084"/>
      <c r="D1556" s="436"/>
      <c r="E1556" s="260"/>
    </row>
    <row r="1557" spans="1:5" ht="12.75" customHeight="1">
      <c r="A1557" s="256" t="s">
        <v>1884</v>
      </c>
      <c r="B1557" s="488">
        <v>800</v>
      </c>
      <c r="C1557" s="1084"/>
      <c r="D1557" s="436"/>
      <c r="E1557" s="260"/>
    </row>
    <row r="1558" spans="1:5" ht="12.75" customHeight="1">
      <c r="A1558" s="256" t="s">
        <v>1885</v>
      </c>
      <c r="B1558" s="488">
        <v>800</v>
      </c>
      <c r="C1558" s="1084"/>
      <c r="D1558" s="436"/>
      <c r="E1558" s="260"/>
    </row>
    <row r="1559" spans="1:5" ht="12.75" customHeight="1">
      <c r="A1559" s="256" t="s">
        <v>1886</v>
      </c>
      <c r="B1559" s="488">
        <v>800</v>
      </c>
      <c r="C1559" s="1084"/>
      <c r="D1559" s="436"/>
      <c r="E1559" s="260"/>
    </row>
    <row r="1560" spans="1:5" ht="12.75" customHeight="1">
      <c r="A1560" s="256" t="s">
        <v>1887</v>
      </c>
      <c r="B1560" s="488">
        <v>800</v>
      </c>
      <c r="C1560" s="1084"/>
      <c r="D1560" s="436"/>
      <c r="E1560" s="260"/>
    </row>
    <row r="1561" spans="1:5" ht="12.75" customHeight="1">
      <c r="A1561" s="256" t="s">
        <v>1888</v>
      </c>
      <c r="B1561" s="488">
        <v>800</v>
      </c>
      <c r="C1561" s="1084"/>
      <c r="D1561" s="436"/>
      <c r="E1561" s="260"/>
    </row>
    <row r="1562" spans="1:5" ht="12.75" customHeight="1" thickBot="1">
      <c r="A1562" s="256" t="s">
        <v>1889</v>
      </c>
      <c r="B1562" s="488">
        <v>800</v>
      </c>
      <c r="C1562" s="1085"/>
      <c r="D1562" s="436"/>
      <c r="E1562" s="260"/>
    </row>
    <row r="1563" spans="1:5" ht="12.75" customHeight="1">
      <c r="A1563" s="16"/>
      <c r="B1563" s="493"/>
      <c r="C1563" s="1081" t="s">
        <v>1787</v>
      </c>
      <c r="D1563" s="436"/>
      <c r="E1563" s="260"/>
    </row>
    <row r="1564" spans="1:5" ht="12.75" customHeight="1">
      <c r="A1564" s="18"/>
      <c r="B1564" s="494"/>
      <c r="C1564" s="1082"/>
      <c r="D1564" s="436"/>
      <c r="E1564" s="260"/>
    </row>
    <row r="1565" spans="1:5" ht="12.75" customHeight="1">
      <c r="A1565" s="18"/>
      <c r="B1565" s="494"/>
      <c r="C1565" s="1082"/>
      <c r="D1565" s="436"/>
      <c r="E1565" s="260"/>
    </row>
    <row r="1566" spans="1:5" ht="12.75" customHeight="1">
      <c r="A1566" s="18"/>
      <c r="B1566" s="494"/>
      <c r="C1566" s="1082"/>
      <c r="D1566" s="436"/>
      <c r="E1566" s="260"/>
    </row>
    <row r="1567" spans="1:5" ht="12.75" customHeight="1" thickBot="1">
      <c r="A1567" s="495"/>
      <c r="B1567" s="496"/>
      <c r="C1567" s="1083"/>
      <c r="D1567" s="436"/>
      <c r="E1567" s="260"/>
    </row>
    <row r="1568" spans="1:5" ht="12.75" customHeight="1">
      <c r="A1568" s="10" t="s">
        <v>1752</v>
      </c>
      <c r="B1568" s="483">
        <v>140</v>
      </c>
      <c r="C1568" s="1078" t="s">
        <v>1716</v>
      </c>
      <c r="D1568" s="436"/>
      <c r="E1568" s="260"/>
    </row>
    <row r="1569" spans="1:5" ht="12.75" customHeight="1">
      <c r="A1569" s="6" t="s">
        <v>1753</v>
      </c>
      <c r="B1569" s="437">
        <v>140</v>
      </c>
      <c r="C1569" s="1079"/>
      <c r="D1569" s="436"/>
      <c r="E1569" s="260"/>
    </row>
    <row r="1570" spans="1:5" ht="12.75" customHeight="1">
      <c r="A1570" s="6" t="s">
        <v>1756</v>
      </c>
      <c r="B1570" s="437">
        <v>140</v>
      </c>
      <c r="C1570" s="1079"/>
      <c r="D1570" s="436"/>
      <c r="E1570" s="260"/>
    </row>
    <row r="1571" spans="1:5" ht="12.75" customHeight="1">
      <c r="A1571" s="6" t="s">
        <v>1757</v>
      </c>
      <c r="B1571" s="437">
        <v>140</v>
      </c>
      <c r="C1571" s="1079"/>
      <c r="D1571" s="436"/>
      <c r="E1571" s="260"/>
    </row>
    <row r="1572" spans="1:5" ht="12.75" customHeight="1">
      <c r="A1572" s="6" t="s">
        <v>1754</v>
      </c>
      <c r="B1572" s="437">
        <v>140</v>
      </c>
      <c r="C1572" s="1079"/>
      <c r="D1572" s="436"/>
      <c r="E1572" s="260"/>
    </row>
    <row r="1573" spans="1:5" ht="12.75" customHeight="1">
      <c r="A1573" s="6" t="s">
        <v>1758</v>
      </c>
      <c r="B1573" s="437">
        <v>140</v>
      </c>
      <c r="C1573" s="1079"/>
      <c r="D1573" s="436"/>
      <c r="E1573" s="260"/>
    </row>
    <row r="1574" spans="1:5" ht="12.75" customHeight="1">
      <c r="A1574" s="6" t="s">
        <v>1759</v>
      </c>
      <c r="B1574" s="437">
        <v>140</v>
      </c>
      <c r="C1574" s="1079"/>
      <c r="D1574" s="436"/>
      <c r="E1574" s="260"/>
    </row>
    <row r="1575" spans="1:5" ht="12.75" customHeight="1">
      <c r="A1575" s="6" t="s">
        <v>1755</v>
      </c>
      <c r="B1575" s="437">
        <v>140</v>
      </c>
      <c r="C1575" s="1079"/>
      <c r="D1575" s="436"/>
      <c r="E1575" s="260"/>
    </row>
    <row r="1576" spans="1:5" ht="12.75" customHeight="1">
      <c r="A1576" s="6" t="s">
        <v>1760</v>
      </c>
      <c r="B1576" s="437">
        <v>140</v>
      </c>
      <c r="C1576" s="1079"/>
      <c r="D1576" s="436"/>
      <c r="E1576" s="260"/>
    </row>
    <row r="1577" spans="1:5" ht="12.75" customHeight="1">
      <c r="A1577" s="6" t="s">
        <v>1761</v>
      </c>
      <c r="B1577" s="437">
        <v>130</v>
      </c>
      <c r="C1577" s="1079"/>
      <c r="D1577" s="436"/>
      <c r="E1577" s="260"/>
    </row>
    <row r="1578" spans="1:5" ht="12.75" customHeight="1">
      <c r="A1578" s="6" t="s">
        <v>1762</v>
      </c>
      <c r="B1578" s="437">
        <v>130</v>
      </c>
      <c r="C1578" s="1079"/>
      <c r="D1578" s="436"/>
      <c r="E1578" s="260"/>
    </row>
    <row r="1579" spans="1:5" ht="12.75" customHeight="1">
      <c r="A1579" s="6" t="s">
        <v>1763</v>
      </c>
      <c r="B1579" s="437">
        <v>130</v>
      </c>
      <c r="C1579" s="1079"/>
      <c r="D1579" s="436"/>
      <c r="E1579" s="260"/>
    </row>
    <row r="1580" spans="1:5" ht="12.75" customHeight="1">
      <c r="A1580" s="6" t="s">
        <v>1764</v>
      </c>
      <c r="B1580" s="437">
        <v>130</v>
      </c>
      <c r="C1580" s="1079"/>
      <c r="D1580" s="436"/>
      <c r="E1580" s="260"/>
    </row>
    <row r="1581" spans="1:5" ht="12.75" customHeight="1">
      <c r="A1581" s="6" t="s">
        <v>1765</v>
      </c>
      <c r="B1581" s="437">
        <v>130</v>
      </c>
      <c r="C1581" s="1079"/>
      <c r="D1581" s="436"/>
      <c r="E1581" s="260"/>
    </row>
    <row r="1582" spans="1:5" ht="12.75" customHeight="1">
      <c r="A1582" s="6" t="s">
        <v>1766</v>
      </c>
      <c r="B1582" s="437">
        <v>130</v>
      </c>
      <c r="C1582" s="1079"/>
      <c r="D1582" s="436"/>
      <c r="E1582" s="260"/>
    </row>
    <row r="1583" spans="1:5" ht="12.75" customHeight="1">
      <c r="A1583" s="6" t="s">
        <v>1767</v>
      </c>
      <c r="B1583" s="437">
        <v>130</v>
      </c>
      <c r="C1583" s="1079"/>
      <c r="D1583" s="436"/>
      <c r="E1583" s="260"/>
    </row>
    <row r="1584" spans="1:5" ht="12.75" customHeight="1">
      <c r="A1584" s="6" t="s">
        <v>1768</v>
      </c>
      <c r="B1584" s="437">
        <v>130</v>
      </c>
      <c r="C1584" s="1079"/>
      <c r="D1584" s="436"/>
      <c r="E1584" s="260"/>
    </row>
    <row r="1585" spans="1:5" ht="12.75" customHeight="1">
      <c r="A1585" s="6" t="s">
        <v>1769</v>
      </c>
      <c r="B1585" s="437">
        <v>130</v>
      </c>
      <c r="C1585" s="1079"/>
      <c r="D1585" s="436"/>
      <c r="E1585" s="260"/>
    </row>
    <row r="1586" spans="1:5" ht="12.75" customHeight="1">
      <c r="A1586" s="6" t="s">
        <v>1770</v>
      </c>
      <c r="B1586" s="437">
        <v>130</v>
      </c>
      <c r="C1586" s="1079"/>
      <c r="D1586" s="436"/>
      <c r="E1586" s="260"/>
    </row>
    <row r="1587" spans="1:5" ht="12.75" customHeight="1">
      <c r="A1587" s="6" t="s">
        <v>1771</v>
      </c>
      <c r="B1587" s="437">
        <v>130</v>
      </c>
      <c r="C1587" s="1079"/>
      <c r="D1587" s="436"/>
      <c r="E1587" s="260"/>
    </row>
    <row r="1588" spans="1:5" ht="12.75" customHeight="1">
      <c r="A1588" s="6" t="s">
        <v>1772</v>
      </c>
      <c r="B1588" s="437">
        <v>130</v>
      </c>
      <c r="C1588" s="1079"/>
      <c r="D1588" s="436"/>
      <c r="E1588" s="260"/>
    </row>
    <row r="1589" spans="1:5" ht="12.75" customHeight="1">
      <c r="A1589" s="6" t="s">
        <v>1773</v>
      </c>
      <c r="B1589" s="437">
        <v>140</v>
      </c>
      <c r="C1589" s="1079"/>
      <c r="D1589" s="436"/>
      <c r="E1589" s="260"/>
    </row>
    <row r="1590" spans="1:5" ht="12.75" customHeight="1">
      <c r="A1590" s="6" t="s">
        <v>1774</v>
      </c>
      <c r="B1590" s="437">
        <v>140</v>
      </c>
      <c r="C1590" s="1079"/>
      <c r="D1590" s="436"/>
      <c r="E1590" s="260"/>
    </row>
    <row r="1591" spans="1:5" ht="12.75" customHeight="1">
      <c r="A1591" s="6" t="s">
        <v>1776</v>
      </c>
      <c r="B1591" s="437">
        <v>140</v>
      </c>
      <c r="C1591" s="1079"/>
      <c r="D1591" s="436"/>
      <c r="E1591" s="260"/>
    </row>
    <row r="1592" spans="1:5" ht="12.75" customHeight="1">
      <c r="A1592" s="6" t="s">
        <v>1775</v>
      </c>
      <c r="B1592" s="437">
        <v>140</v>
      </c>
      <c r="C1592" s="1079"/>
      <c r="D1592" s="436"/>
      <c r="E1592" s="260"/>
    </row>
    <row r="1593" spans="1:5" ht="12.75" customHeight="1">
      <c r="A1593" s="6" t="s">
        <v>1777</v>
      </c>
      <c r="B1593" s="437">
        <v>170</v>
      </c>
      <c r="C1593" s="1079"/>
      <c r="D1593" s="436"/>
      <c r="E1593" s="260"/>
    </row>
    <row r="1594" spans="1:5" ht="12.75" customHeight="1">
      <c r="A1594" s="6" t="s">
        <v>1778</v>
      </c>
      <c r="B1594" s="437">
        <v>170</v>
      </c>
      <c r="C1594" s="1079"/>
      <c r="D1594" s="436"/>
      <c r="E1594" s="260"/>
    </row>
    <row r="1595" spans="1:5" ht="12.75" customHeight="1">
      <c r="A1595" s="6" t="s">
        <v>1779</v>
      </c>
      <c r="B1595" s="437">
        <v>170</v>
      </c>
      <c r="C1595" s="1079"/>
      <c r="D1595" s="436"/>
      <c r="E1595" s="260"/>
    </row>
    <row r="1596" spans="1:5" ht="12.75" customHeight="1">
      <c r="A1596" s="6" t="s">
        <v>1780</v>
      </c>
      <c r="B1596" s="437">
        <v>170</v>
      </c>
      <c r="C1596" s="1079"/>
      <c r="D1596" s="436"/>
      <c r="E1596" s="260"/>
    </row>
    <row r="1597" spans="1:5" ht="12.75" customHeight="1">
      <c r="A1597" s="6" t="s">
        <v>1781</v>
      </c>
      <c r="B1597" s="437">
        <v>170</v>
      </c>
      <c r="C1597" s="1079"/>
      <c r="D1597" s="436"/>
      <c r="E1597" s="260"/>
    </row>
    <row r="1598" spans="1:5" ht="12.75" customHeight="1">
      <c r="A1598" s="6" t="s">
        <v>1782</v>
      </c>
      <c r="B1598" s="437">
        <v>170</v>
      </c>
      <c r="C1598" s="1079"/>
      <c r="D1598" s="436"/>
      <c r="E1598" s="260"/>
    </row>
    <row r="1599" spans="1:5" ht="12.75" customHeight="1">
      <c r="A1599" s="6" t="s">
        <v>1783</v>
      </c>
      <c r="B1599" s="437">
        <v>170</v>
      </c>
      <c r="C1599" s="1079"/>
      <c r="D1599" s="436"/>
      <c r="E1599" s="260"/>
    </row>
    <row r="1600" spans="1:5" ht="12.75" customHeight="1">
      <c r="A1600" s="6" t="s">
        <v>1784</v>
      </c>
      <c r="B1600" s="437">
        <v>170</v>
      </c>
      <c r="C1600" s="1079"/>
      <c r="D1600" s="436"/>
      <c r="E1600" s="260"/>
    </row>
    <row r="1601" spans="1:5" ht="12.75" customHeight="1">
      <c r="A1601" s="6" t="s">
        <v>1785</v>
      </c>
      <c r="B1601" s="437">
        <v>170</v>
      </c>
      <c r="C1601" s="1079"/>
      <c r="D1601" s="436"/>
      <c r="E1601" s="260"/>
    </row>
    <row r="1602" spans="1:5" ht="12.75" customHeight="1">
      <c r="A1602" s="6" t="s">
        <v>1788</v>
      </c>
      <c r="B1602" s="437">
        <v>360</v>
      </c>
      <c r="C1602" s="1079"/>
      <c r="D1602" s="436"/>
      <c r="E1602" s="260"/>
    </row>
    <row r="1603" spans="1:5" ht="12.75" customHeight="1">
      <c r="A1603" s="6" t="s">
        <v>1789</v>
      </c>
      <c r="B1603" s="437">
        <v>240</v>
      </c>
      <c r="C1603" s="1079"/>
      <c r="D1603" s="436"/>
      <c r="E1603" s="260"/>
    </row>
    <row r="1604" spans="1:5" ht="12.75" customHeight="1">
      <c r="A1604" s="6" t="s">
        <v>1790</v>
      </c>
      <c r="B1604" s="437">
        <v>280</v>
      </c>
      <c r="C1604" s="1079"/>
      <c r="D1604" s="436"/>
      <c r="E1604" s="260"/>
    </row>
    <row r="1605" spans="1:5" ht="12.75" customHeight="1">
      <c r="A1605" s="6" t="s">
        <v>1791</v>
      </c>
      <c r="B1605" s="437">
        <v>320</v>
      </c>
      <c r="C1605" s="1079"/>
      <c r="D1605" s="436"/>
      <c r="E1605" s="260"/>
    </row>
    <row r="1606" spans="1:5" ht="12.75" customHeight="1">
      <c r="A1606" s="6" t="s">
        <v>1792</v>
      </c>
      <c r="B1606" s="437">
        <v>360</v>
      </c>
      <c r="C1606" s="1079"/>
      <c r="D1606" s="436"/>
      <c r="E1606" s="260"/>
    </row>
    <row r="1607" spans="1:5" ht="12.75" customHeight="1">
      <c r="A1607" s="6" t="s">
        <v>1793</v>
      </c>
      <c r="B1607" s="437">
        <v>240</v>
      </c>
      <c r="C1607" s="1079"/>
      <c r="D1607" s="436"/>
      <c r="E1607" s="260"/>
    </row>
    <row r="1608" spans="1:5" ht="12.75" customHeight="1">
      <c r="A1608" s="6" t="s">
        <v>1794</v>
      </c>
      <c r="B1608" s="437">
        <v>280</v>
      </c>
      <c r="C1608" s="1079"/>
      <c r="D1608" s="436"/>
      <c r="E1608" s="260"/>
    </row>
    <row r="1609" spans="1:5" ht="12.75" customHeight="1">
      <c r="A1609" s="6" t="s">
        <v>1795</v>
      </c>
      <c r="B1609" s="437">
        <v>320</v>
      </c>
      <c r="C1609" s="1079"/>
      <c r="D1609" s="436"/>
      <c r="E1609" s="260"/>
    </row>
    <row r="1610" spans="1:5" ht="12.75" customHeight="1">
      <c r="A1610" s="6" t="s">
        <v>1796</v>
      </c>
      <c r="B1610" s="437">
        <v>360</v>
      </c>
      <c r="C1610" s="1079"/>
      <c r="D1610" s="436"/>
      <c r="E1610" s="260"/>
    </row>
    <row r="1611" spans="1:5" ht="12.75" customHeight="1">
      <c r="A1611" s="6" t="s">
        <v>1797</v>
      </c>
      <c r="B1611" s="437">
        <v>210</v>
      </c>
      <c r="C1611" s="1079"/>
      <c r="D1611" s="436"/>
      <c r="E1611" s="260"/>
    </row>
    <row r="1612" spans="1:5" ht="12.75" customHeight="1">
      <c r="A1612" s="6" t="s">
        <v>1798</v>
      </c>
      <c r="B1612" s="437">
        <v>210</v>
      </c>
      <c r="C1612" s="1079"/>
      <c r="D1612" s="436"/>
      <c r="E1612" s="260"/>
    </row>
    <row r="1613" spans="1:5" ht="12.75" customHeight="1">
      <c r="A1613" s="6" t="s">
        <v>1799</v>
      </c>
      <c r="B1613" s="437">
        <v>210</v>
      </c>
      <c r="C1613" s="1079"/>
      <c r="D1613" s="436"/>
      <c r="E1613" s="260"/>
    </row>
    <row r="1614" spans="1:5" ht="12.75" customHeight="1">
      <c r="A1614" s="6" t="s">
        <v>1800</v>
      </c>
      <c r="B1614" s="437">
        <v>210</v>
      </c>
      <c r="C1614" s="1079"/>
      <c r="D1614" s="436"/>
      <c r="E1614" s="260"/>
    </row>
    <row r="1615" spans="1:5" ht="12.75" customHeight="1" thickBot="1">
      <c r="A1615" s="485" t="s">
        <v>1801</v>
      </c>
      <c r="B1615" s="484">
        <v>165</v>
      </c>
      <c r="C1615" s="1080"/>
      <c r="D1615" s="436"/>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1"/>
      <c r="B3" s="1101"/>
      <c r="C3" s="1101"/>
      <c r="D3" s="1101"/>
      <c r="E3" s="1101"/>
      <c r="F3" s="1101"/>
      <c r="G3" s="1101"/>
      <c r="H3" s="1102"/>
    </row>
    <row r="4" spans="1:8" ht="15">
      <c r="A4" s="22" t="s">
        <v>1146</v>
      </c>
      <c r="B4" s="1103" t="s">
        <v>1172</v>
      </c>
      <c r="C4" s="1103" t="s">
        <v>1148</v>
      </c>
      <c r="D4" s="461" t="str">
        <f>CONCATENATE(A4,$B$4,$C$4)</f>
        <v>ABBC5000SEW</v>
      </c>
      <c r="E4" s="23" t="s">
        <v>1169</v>
      </c>
      <c r="F4" s="23">
        <v>1500</v>
      </c>
      <c r="G4" s="23">
        <v>10000</v>
      </c>
      <c r="H4" s="23" t="s">
        <v>1171</v>
      </c>
    </row>
    <row r="5" spans="1:8" ht="15">
      <c r="A5" s="25" t="s">
        <v>1155</v>
      </c>
      <c r="B5" s="1104"/>
      <c r="C5" s="1104"/>
      <c r="D5" s="462" t="str">
        <f>CONCATENATE(A5,$B$4,$C$4)</f>
        <v>KUKAC5000SEW</v>
      </c>
      <c r="E5" s="26" t="s">
        <v>1169</v>
      </c>
      <c r="F5" s="26">
        <v>1500</v>
      </c>
      <c r="G5" s="26">
        <v>10000</v>
      </c>
      <c r="H5" s="26" t="s">
        <v>1170</v>
      </c>
    </row>
    <row r="6" spans="1:8" ht="15.75" thickBot="1">
      <c r="A6" s="24" t="s">
        <v>1153</v>
      </c>
      <c r="B6" s="1105"/>
      <c r="C6" s="1104"/>
      <c r="D6" s="463" t="str">
        <f>CONCATENATE(A6,$B$4,$C$4)</f>
        <v>FanucC5000SEW</v>
      </c>
      <c r="E6" s="275" t="s">
        <v>1169</v>
      </c>
      <c r="F6" s="275">
        <v>1500</v>
      </c>
      <c r="G6" s="276">
        <v>10000</v>
      </c>
      <c r="H6" s="276" t="s">
        <v>1734</v>
      </c>
    </row>
    <row r="7" spans="1:8" ht="15">
      <c r="A7" s="22" t="s">
        <v>1146</v>
      </c>
      <c r="B7" s="1103" t="s">
        <v>1150</v>
      </c>
      <c r="C7" s="1104"/>
      <c r="D7" s="461" t="str">
        <f>CONCATENATE(A7,$B$7,$C$4)</f>
        <v>ABBC8000SEW</v>
      </c>
      <c r="E7" s="23" t="s">
        <v>1163</v>
      </c>
      <c r="F7" s="23">
        <v>1500</v>
      </c>
      <c r="G7" s="23">
        <v>10000</v>
      </c>
      <c r="H7" s="23" t="s">
        <v>1168</v>
      </c>
    </row>
    <row r="8" spans="1:8" ht="15">
      <c r="A8" s="25" t="s">
        <v>1155</v>
      </c>
      <c r="B8" s="1104"/>
      <c r="C8" s="1104"/>
      <c r="D8" s="462" t="str">
        <f>CONCATENATE(A8,$B$7,$C$4)</f>
        <v>KUKAC8000SEW</v>
      </c>
      <c r="E8" s="26" t="s">
        <v>1163</v>
      </c>
      <c r="F8" s="26">
        <v>1500</v>
      </c>
      <c r="G8" s="26">
        <v>10000</v>
      </c>
      <c r="H8" s="26" t="s">
        <v>1167</v>
      </c>
    </row>
    <row r="9" spans="1:8" ht="15.75" thickBot="1">
      <c r="A9" s="24" t="s">
        <v>1153</v>
      </c>
      <c r="B9" s="1105"/>
      <c r="C9" s="1104"/>
      <c r="D9" s="463" t="str">
        <f>CONCATENATE(A9,$B$7,$C$4)</f>
        <v>FanucC8000SEW</v>
      </c>
      <c r="E9" s="275" t="s">
        <v>1163</v>
      </c>
      <c r="F9" s="275">
        <v>1500</v>
      </c>
      <c r="G9" s="275">
        <v>10000</v>
      </c>
      <c r="H9" s="276" t="s">
        <v>1735</v>
      </c>
    </row>
    <row r="10" spans="1:8" ht="15">
      <c r="A10" s="22" t="s">
        <v>1146</v>
      </c>
      <c r="B10" s="1103" t="s">
        <v>1166</v>
      </c>
      <c r="C10" s="1104"/>
      <c r="D10" s="461" t="str">
        <f>CONCATENATE(A10,$B$10,$C$4)</f>
        <v>ABBC8000 TunnelSEW</v>
      </c>
      <c r="E10" s="23" t="s">
        <v>1163</v>
      </c>
      <c r="F10" s="23">
        <v>1500</v>
      </c>
      <c r="G10" s="23">
        <v>10000</v>
      </c>
      <c r="H10" s="23" t="s">
        <v>1165</v>
      </c>
    </row>
    <row r="11" spans="1:8" ht="15">
      <c r="A11" s="25" t="s">
        <v>1155</v>
      </c>
      <c r="B11" s="1104"/>
      <c r="C11" s="1104"/>
      <c r="D11" s="462" t="str">
        <f>CONCATENATE(A11,$B$10,$C$4)</f>
        <v>KUKAC8000 TunnelSEW</v>
      </c>
      <c r="E11" s="26" t="s">
        <v>1163</v>
      </c>
      <c r="F11" s="26">
        <v>1500</v>
      </c>
      <c r="G11" s="26">
        <v>10000</v>
      </c>
      <c r="H11" s="26" t="s">
        <v>1164</v>
      </c>
    </row>
    <row r="12" spans="1:8" ht="15.75" thickBot="1">
      <c r="A12" s="24" t="s">
        <v>1153</v>
      </c>
      <c r="B12" s="1105"/>
      <c r="C12" s="1104"/>
      <c r="D12" s="463" t="str">
        <f>CONCATENATE(A12,$B$10,$C$4)</f>
        <v>FanucC8000 TunnelSEW</v>
      </c>
      <c r="E12" s="275" t="s">
        <v>1163</v>
      </c>
      <c r="F12" s="275">
        <v>1500</v>
      </c>
      <c r="G12" s="275">
        <v>10000</v>
      </c>
      <c r="H12" s="276" t="s">
        <v>1736</v>
      </c>
    </row>
    <row r="13" spans="1:8" ht="15">
      <c r="A13" s="22" t="s">
        <v>1146</v>
      </c>
      <c r="B13" s="1103" t="s">
        <v>1162</v>
      </c>
      <c r="C13" s="1104"/>
      <c r="D13" s="461" t="str">
        <f>CONCATENATE(A13,$B$13,$C$4)</f>
        <v>ABBX100SEW</v>
      </c>
      <c r="E13" s="23" t="s">
        <v>1159</v>
      </c>
      <c r="F13" s="23">
        <v>2000</v>
      </c>
      <c r="G13" s="23">
        <v>12000</v>
      </c>
      <c r="H13" s="23" t="s">
        <v>1161</v>
      </c>
    </row>
    <row r="14" spans="1:8" ht="15">
      <c r="A14" s="25" t="s">
        <v>1155</v>
      </c>
      <c r="B14" s="1104"/>
      <c r="C14" s="1104"/>
      <c r="D14" s="462" t="str">
        <f>CONCATENATE(A14,$B$13,$C$4)</f>
        <v>KUKAX100SEW</v>
      </c>
      <c r="E14" s="26" t="s">
        <v>1159</v>
      </c>
      <c r="F14" s="26">
        <v>2000</v>
      </c>
      <c r="G14" s="26">
        <v>12000</v>
      </c>
      <c r="H14" s="26" t="s">
        <v>1160</v>
      </c>
    </row>
    <row r="15" spans="1:8" ht="15.75" thickBot="1">
      <c r="A15" s="24" t="s">
        <v>1153</v>
      </c>
      <c r="B15" s="1105"/>
      <c r="C15" s="1104"/>
      <c r="D15" s="464" t="str">
        <f>CONCATENATE(A15,$B$13,$C$4)</f>
        <v>FanucX100SEW</v>
      </c>
      <c r="E15" s="21" t="s">
        <v>1159</v>
      </c>
      <c r="F15" s="21">
        <v>2000</v>
      </c>
      <c r="G15" s="21">
        <v>12000</v>
      </c>
      <c r="H15" s="21" t="s">
        <v>1737</v>
      </c>
    </row>
    <row r="16" spans="1:8" ht="15">
      <c r="A16" s="22" t="s">
        <v>1146</v>
      </c>
      <c r="B16" s="1103" t="s">
        <v>1158</v>
      </c>
      <c r="C16" s="1104"/>
      <c r="D16" s="461" t="str">
        <f>CONCATENATE(A16,$B$16,$C$4)</f>
        <v>ABBX120SEW</v>
      </c>
      <c r="E16" s="23" t="s">
        <v>1157</v>
      </c>
      <c r="F16" s="23">
        <v>2500</v>
      </c>
      <c r="G16" s="23">
        <v>19500</v>
      </c>
      <c r="H16" s="23" t="s">
        <v>1156</v>
      </c>
    </row>
    <row r="17" spans="1:8" ht="15">
      <c r="A17" s="465" t="s">
        <v>1155</v>
      </c>
      <c r="B17" s="1104"/>
      <c r="C17" s="1104"/>
      <c r="D17" s="468" t="str">
        <f t="shared" ref="D17:D18" si="0">CONCATENATE(A17,$B$16,$C$4)</f>
        <v>KUKAX120SEW</v>
      </c>
      <c r="E17" s="26" t="s">
        <v>1746</v>
      </c>
      <c r="F17" s="26"/>
      <c r="G17" s="26"/>
      <c r="H17" s="26"/>
    </row>
    <row r="18" spans="1:8" ht="15.75" thickBot="1">
      <c r="A18" s="24" t="s">
        <v>1153</v>
      </c>
      <c r="B18" s="1105"/>
      <c r="C18" s="1104"/>
      <c r="D18" s="464" t="str">
        <f t="shared" si="0"/>
        <v>FanucX120SEW</v>
      </c>
      <c r="E18" s="21" t="s">
        <v>1746</v>
      </c>
      <c r="F18" s="21"/>
      <c r="G18" s="21"/>
      <c r="H18" s="21"/>
    </row>
    <row r="19" spans="1:8" ht="15">
      <c r="A19" s="22" t="s">
        <v>1146</v>
      </c>
      <c r="B19" s="1103" t="s">
        <v>1747</v>
      </c>
      <c r="C19" s="1104"/>
      <c r="D19" s="469" t="str">
        <f>CONCATENATE(A19,$B$19,$C$4)</f>
        <v>ABBX120 (Doppelzange)SEW</v>
      </c>
      <c r="E19" s="469" t="s">
        <v>1746</v>
      </c>
      <c r="F19" s="469"/>
      <c r="G19" s="469"/>
      <c r="H19" s="469"/>
    </row>
    <row r="20" spans="1:8" ht="15">
      <c r="A20" s="465" t="s">
        <v>1155</v>
      </c>
      <c r="B20" s="1104"/>
      <c r="C20" s="1104"/>
      <c r="D20" s="469" t="str">
        <f t="shared" ref="D20:D21" si="1">CONCATENATE(A20,$B$19,$C$4)</f>
        <v>KUKAX120 (Doppelzange)SEW</v>
      </c>
      <c r="E20" s="469" t="s">
        <v>1152</v>
      </c>
      <c r="F20" s="469">
        <v>2500</v>
      </c>
      <c r="G20" s="469">
        <v>19500</v>
      </c>
      <c r="H20" s="469" t="s">
        <v>1154</v>
      </c>
    </row>
    <row r="21" spans="1:8" ht="15.75" thickBot="1">
      <c r="A21" s="20" t="s">
        <v>1153</v>
      </c>
      <c r="B21" s="1105"/>
      <c r="C21" s="1104"/>
      <c r="D21" s="469" t="str">
        <f t="shared" si="1"/>
        <v>FanucX120 (Doppelzange)SEW</v>
      </c>
      <c r="E21" s="21" t="s">
        <v>1152</v>
      </c>
      <c r="F21" s="21">
        <v>2500</v>
      </c>
      <c r="G21" s="21">
        <v>19500</v>
      </c>
      <c r="H21" s="21" t="s">
        <v>1738</v>
      </c>
    </row>
    <row r="22" spans="1:8" ht="15">
      <c r="A22" s="22" t="s">
        <v>1146</v>
      </c>
      <c r="B22" s="1103" t="s">
        <v>1739</v>
      </c>
      <c r="C22" s="1104"/>
      <c r="D22" s="461" t="str">
        <f t="shared" ref="D22:D24" si="2">CONCATENATE(A22,$B$22,$C$4)</f>
        <v>ABBX125SEW</v>
      </c>
      <c r="E22" s="23" t="s">
        <v>1157</v>
      </c>
      <c r="F22" s="23">
        <v>2500</v>
      </c>
      <c r="G22" s="23">
        <v>19500</v>
      </c>
      <c r="H22" s="26"/>
    </row>
    <row r="23" spans="1:8" ht="15">
      <c r="A23" s="465" t="s">
        <v>1155</v>
      </c>
      <c r="B23" s="1104"/>
      <c r="C23" s="1104"/>
      <c r="D23" s="468" t="str">
        <f t="shared" si="2"/>
        <v>KUKAX125SEW</v>
      </c>
      <c r="E23" s="469" t="s">
        <v>1152</v>
      </c>
      <c r="F23" s="469">
        <v>2500</v>
      </c>
      <c r="G23" s="469">
        <v>19500</v>
      </c>
      <c r="H23" s="469"/>
    </row>
    <row r="24" spans="1:8" ht="15.75" thickBot="1">
      <c r="A24" s="20" t="s">
        <v>1153</v>
      </c>
      <c r="B24" s="1105"/>
      <c r="C24" s="1104"/>
      <c r="D24" s="464" t="str">
        <f t="shared" si="2"/>
        <v>FanucX125SEW</v>
      </c>
      <c r="E24" s="21" t="s">
        <v>1152</v>
      </c>
      <c r="F24" s="21">
        <v>2500</v>
      </c>
      <c r="G24" s="21">
        <v>19500</v>
      </c>
      <c r="H24" s="21"/>
    </row>
    <row r="25" spans="1:8" ht="15">
      <c r="A25" s="22" t="s">
        <v>1146</v>
      </c>
      <c r="B25" s="1104" t="s">
        <v>1748</v>
      </c>
      <c r="C25" s="1104"/>
      <c r="D25" s="23" t="str">
        <f>CONCATENATE(A25,$B$25,$C$4)</f>
        <v>ABBX125 (Doppelzange)SEW</v>
      </c>
      <c r="E25" s="23" t="s">
        <v>1157</v>
      </c>
      <c r="F25" s="23">
        <v>2500</v>
      </c>
      <c r="G25" s="23">
        <v>19500</v>
      </c>
      <c r="H25" s="23"/>
    </row>
    <row r="26" spans="1:8" ht="15">
      <c r="A26" s="465" t="s">
        <v>1155</v>
      </c>
      <c r="B26" s="1104"/>
      <c r="C26" s="1104"/>
      <c r="D26" s="26" t="str">
        <f t="shared" ref="D26:D27" si="3">CONCATENATE(A26,$B$25,$C$4)</f>
        <v>KUKAX125 (Doppelzange)SEW</v>
      </c>
      <c r="E26" s="469" t="s">
        <v>1152</v>
      </c>
      <c r="F26" s="469">
        <v>2500</v>
      </c>
      <c r="G26" s="469">
        <v>19500</v>
      </c>
      <c r="H26" s="469"/>
    </row>
    <row r="27" spans="1:8" ht="15.75" thickBot="1">
      <c r="A27" s="20" t="s">
        <v>1153</v>
      </c>
      <c r="B27" s="1105"/>
      <c r="C27" s="1105"/>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4"/>
      <c r="C29" s="1107"/>
      <c r="D29" s="26" t="str">
        <f t="shared" ref="D29:D30" si="4">CONCATENATE(A29,$B$28,$C$28)</f>
        <v>KUKAC5000Tolomatic</v>
      </c>
      <c r="E29" s="25" t="s">
        <v>1740</v>
      </c>
      <c r="F29" s="26">
        <v>1500</v>
      </c>
      <c r="G29" s="26">
        <v>7560</v>
      </c>
      <c r="H29" s="25" t="s">
        <v>1696</v>
      </c>
    </row>
    <row r="30" spans="1:8" ht="15.75" thickBot="1">
      <c r="A30" s="24" t="s">
        <v>1153</v>
      </c>
      <c r="B30" s="1105"/>
      <c r="C30" s="1107"/>
      <c r="D30" s="21" t="str">
        <f t="shared" si="4"/>
        <v>FanucC5000Tolomatic</v>
      </c>
      <c r="E30" s="20" t="s">
        <v>1740</v>
      </c>
      <c r="F30" s="21">
        <v>1500</v>
      </c>
      <c r="G30" s="21">
        <v>7560</v>
      </c>
      <c r="H30" s="20">
        <v>28330057</v>
      </c>
    </row>
    <row r="31" spans="1:8" ht="15">
      <c r="A31" s="22" t="s">
        <v>1146</v>
      </c>
      <c r="B31" s="1103" t="s">
        <v>1150</v>
      </c>
      <c r="C31" s="1107"/>
      <c r="D31" s="469" t="str">
        <f>CONCATENATE(A31,$B$31,$C$28)</f>
        <v>ABBC8000Tolomatic</v>
      </c>
      <c r="E31" s="487" t="s">
        <v>1741</v>
      </c>
      <c r="F31" s="23">
        <v>1500</v>
      </c>
      <c r="G31" s="23">
        <v>11100</v>
      </c>
      <c r="H31" s="22">
        <v>28330079</v>
      </c>
    </row>
    <row r="32" spans="1:8" ht="15">
      <c r="A32" s="25" t="s">
        <v>1155</v>
      </c>
      <c r="B32" s="1104"/>
      <c r="C32" s="1107"/>
      <c r="D32" s="26" t="str">
        <f t="shared" ref="D32:D33" si="5">CONCATENATE(A32,$B$31,$C$28)</f>
        <v>KUKAC8000Tolomatic</v>
      </c>
      <c r="E32" s="465" t="s">
        <v>1741</v>
      </c>
      <c r="F32" s="26">
        <v>1500</v>
      </c>
      <c r="G32" s="26">
        <v>11100</v>
      </c>
      <c r="H32" s="25" t="s">
        <v>1742</v>
      </c>
    </row>
    <row r="33" spans="1:8" ht="15.75" thickBot="1">
      <c r="A33" s="24" t="s">
        <v>1153</v>
      </c>
      <c r="B33" s="1105"/>
      <c r="C33" s="1107"/>
      <c r="D33" s="21" t="str">
        <f t="shared" si="5"/>
        <v>FanucC8000Tolomatic</v>
      </c>
      <c r="E33" s="486" t="s">
        <v>1741</v>
      </c>
      <c r="F33" s="275">
        <v>1500</v>
      </c>
      <c r="G33" s="275">
        <v>11100</v>
      </c>
      <c r="H33" s="24">
        <v>28330081</v>
      </c>
    </row>
    <row r="34" spans="1:8" ht="15">
      <c r="A34" s="22" t="s">
        <v>1146</v>
      </c>
      <c r="B34" s="1103" t="s">
        <v>1166</v>
      </c>
      <c r="C34" s="1107"/>
      <c r="D34" s="469" t="str">
        <f>CONCATENATE(A34,$B$34,$C$28)</f>
        <v>ABBC8000 TunnelTolomatic</v>
      </c>
      <c r="E34" s="22" t="s">
        <v>1741</v>
      </c>
      <c r="F34" s="23">
        <v>1500</v>
      </c>
      <c r="G34" s="23">
        <v>11100</v>
      </c>
      <c r="H34" s="22">
        <v>28330034</v>
      </c>
    </row>
    <row r="35" spans="1:8" ht="15">
      <c r="A35" s="25" t="s">
        <v>1155</v>
      </c>
      <c r="B35" s="1104"/>
      <c r="C35" s="1107"/>
      <c r="D35" s="26" t="str">
        <f t="shared" ref="D35:D36" si="6">CONCATENATE(A35,$B$34,$C$28)</f>
        <v>KUKAC8000 TunnelTolomatic</v>
      </c>
      <c r="E35" s="25" t="s">
        <v>1741</v>
      </c>
      <c r="F35" s="26">
        <v>1500</v>
      </c>
      <c r="G35" s="26">
        <v>11100</v>
      </c>
      <c r="H35" s="25">
        <v>28330051</v>
      </c>
    </row>
    <row r="36" spans="1:8" ht="15.75" thickBot="1">
      <c r="A36" s="24" t="s">
        <v>1153</v>
      </c>
      <c r="B36" s="1105"/>
      <c r="C36" s="1107"/>
      <c r="D36" s="21" t="str">
        <f t="shared" si="6"/>
        <v>FanucC8000 TunnelTolomatic</v>
      </c>
      <c r="E36" s="20" t="s">
        <v>1741</v>
      </c>
      <c r="F36" s="21">
        <v>1500</v>
      </c>
      <c r="G36" s="275">
        <v>11100</v>
      </c>
      <c r="H36" s="20">
        <v>28330085</v>
      </c>
    </row>
    <row r="37" spans="1:8" ht="15">
      <c r="A37" s="22" t="s">
        <v>1146</v>
      </c>
      <c r="B37" s="1103" t="s">
        <v>1162</v>
      </c>
      <c r="C37" s="1107"/>
      <c r="D37" s="469" t="str">
        <f>CONCATENATE(A37,$B$37,$C$28)</f>
        <v>ABBX100Tolomatic</v>
      </c>
      <c r="E37" s="22" t="s">
        <v>1743</v>
      </c>
      <c r="F37" s="23">
        <v>2000</v>
      </c>
      <c r="G37" s="23">
        <v>14680</v>
      </c>
      <c r="H37" s="22">
        <v>28440187</v>
      </c>
    </row>
    <row r="38" spans="1:8" ht="15">
      <c r="A38" s="25" t="s">
        <v>1155</v>
      </c>
      <c r="B38" s="1104"/>
      <c r="C38" s="1107"/>
      <c r="D38" s="26" t="str">
        <f t="shared" ref="D38:D39" si="7">CONCATENATE(A38,$B$37,$C$28)</f>
        <v>KUKAX100Tolomatic</v>
      </c>
      <c r="E38" s="25" t="s">
        <v>1743</v>
      </c>
      <c r="F38" s="26">
        <v>2000</v>
      </c>
      <c r="G38" s="26">
        <v>14680</v>
      </c>
      <c r="H38" s="25">
        <v>28440189</v>
      </c>
    </row>
    <row r="39" spans="1:8" ht="15.75" thickBot="1">
      <c r="A39" s="24" t="s">
        <v>1153</v>
      </c>
      <c r="B39" s="1105"/>
      <c r="C39" s="1107"/>
      <c r="D39" s="21" t="str">
        <f t="shared" si="7"/>
        <v>FanucX100Tolomatic</v>
      </c>
      <c r="E39" s="20" t="s">
        <v>1743</v>
      </c>
      <c r="F39" s="21">
        <v>2000</v>
      </c>
      <c r="G39" s="21">
        <v>14680</v>
      </c>
      <c r="H39" s="20">
        <v>28440188</v>
      </c>
    </row>
    <row r="40" spans="1:8" ht="15">
      <c r="A40" s="22" t="s">
        <v>1146</v>
      </c>
      <c r="B40" s="1103" t="s">
        <v>1739</v>
      </c>
      <c r="C40" s="1107"/>
      <c r="D40" s="469" t="str">
        <f>CONCATENATE(A40,$B$40,$C$28)</f>
        <v>ABBX125Tolomatic</v>
      </c>
      <c r="E40" s="22" t="s">
        <v>1744</v>
      </c>
      <c r="F40" s="23">
        <v>2500</v>
      </c>
      <c r="G40" s="23">
        <v>24000</v>
      </c>
      <c r="H40" s="23">
        <v>28440192</v>
      </c>
    </row>
    <row r="41" spans="1:8" ht="15">
      <c r="A41" s="465" t="s">
        <v>1155</v>
      </c>
      <c r="B41" s="1104"/>
      <c r="C41" s="1107"/>
      <c r="D41" s="26" t="str">
        <f t="shared" ref="D41:D42" si="8">CONCATENATE(A41,$B$40,$C$28)</f>
        <v>KUKAX125Tolomatic</v>
      </c>
      <c r="E41" s="25" t="s">
        <v>1744</v>
      </c>
      <c r="F41" s="26">
        <v>2500</v>
      </c>
      <c r="G41" s="26">
        <v>24000</v>
      </c>
      <c r="H41" s="26">
        <v>28440191</v>
      </c>
    </row>
    <row r="42" spans="1:8" ht="15.75" thickBot="1">
      <c r="A42" s="20" t="s">
        <v>1153</v>
      </c>
      <c r="B42" s="1105"/>
      <c r="C42" s="1107"/>
      <c r="D42" s="21" t="str">
        <f t="shared" si="8"/>
        <v>FanucX125Tolomatic</v>
      </c>
      <c r="E42" s="20" t="s">
        <v>1744</v>
      </c>
      <c r="F42" s="21">
        <v>2500</v>
      </c>
      <c r="G42" s="21">
        <v>24000</v>
      </c>
      <c r="H42" s="24">
        <v>28440190</v>
      </c>
    </row>
    <row r="43" spans="1:8" ht="15">
      <c r="A43" s="22" t="s">
        <v>1146</v>
      </c>
      <c r="B43" s="1103" t="s">
        <v>1748</v>
      </c>
      <c r="C43" s="1107"/>
      <c r="D43" s="469" t="str">
        <f>CONCATENATE(A43,$B$43,$C$28)</f>
        <v>ABBX125 (Doppelzange)Tolomatic</v>
      </c>
      <c r="E43" s="22" t="s">
        <v>1745</v>
      </c>
      <c r="F43" s="23">
        <v>2500</v>
      </c>
      <c r="G43" s="23">
        <v>24000</v>
      </c>
      <c r="H43" s="23">
        <v>28440213</v>
      </c>
    </row>
    <row r="44" spans="1:8" ht="15">
      <c r="A44" s="465" t="s">
        <v>1155</v>
      </c>
      <c r="B44" s="1104"/>
      <c r="C44" s="1107"/>
      <c r="D44" s="26" t="str">
        <f t="shared" ref="D44:D45" si="9">CONCATENATE(A44,$B$43,$C$28)</f>
        <v>KUKAX125 (Doppelzange)Tolomatic</v>
      </c>
      <c r="E44" s="25" t="s">
        <v>1745</v>
      </c>
      <c r="F44" s="26">
        <v>2500</v>
      </c>
      <c r="G44" s="26">
        <v>24000</v>
      </c>
      <c r="H44" s="26">
        <v>28440212</v>
      </c>
    </row>
    <row r="45" spans="1:8" ht="15.75" thickBot="1">
      <c r="A45" s="20" t="s">
        <v>1153</v>
      </c>
      <c r="B45" s="1105"/>
      <c r="C45" s="1108"/>
      <c r="D45" s="21" t="str">
        <f t="shared" si="9"/>
        <v>FanucX125 (Doppelzange)Tolomatic</v>
      </c>
      <c r="E45" s="20" t="s">
        <v>1745</v>
      </c>
      <c r="F45" s="21">
        <v>2500</v>
      </c>
      <c r="G45" s="21">
        <v>24000</v>
      </c>
      <c r="H45" s="24">
        <v>28440211</v>
      </c>
    </row>
    <row r="48" spans="1:8" hidden="1"/>
    <row r="49" spans="1:3" hidden="1">
      <c r="A49" s="470"/>
      <c r="B49" s="270"/>
      <c r="C49" s="471"/>
    </row>
    <row r="50" spans="1:3" hidden="1">
      <c r="A50" s="466" t="s">
        <v>1146</v>
      </c>
      <c r="B50" s="271" t="s">
        <v>1172</v>
      </c>
      <c r="C50" s="467" t="s">
        <v>1148</v>
      </c>
    </row>
    <row r="51" spans="1:3" hidden="1">
      <c r="A51" s="466" t="s">
        <v>1155</v>
      </c>
      <c r="B51" s="271" t="s">
        <v>1150</v>
      </c>
      <c r="C51" s="467" t="s">
        <v>1693</v>
      </c>
    </row>
    <row r="52" spans="1:3" hidden="1">
      <c r="A52" s="466"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Blatt_1_1610R01</vt:lpstr>
      <vt:lpstr>Punktplan LTVR_4_1610R01</vt:lpstr>
      <vt:lpstr>Materialliste</vt:lpstr>
      <vt:lpstr>Motordaten</vt:lpstr>
      <vt:lpstr>Hinweise (Notes)</vt:lpstr>
      <vt:lpstr>Änderungshistorie</vt:lpstr>
      <vt:lpstr>'Blatt 0'!Area_de_impressao</vt:lpstr>
      <vt:lpstr>Blatt_1_1610R01!Area_de_impressao</vt:lpstr>
      <vt:lpstr>'Punktplan LTVR_4_1610R01'!Area_de_impressao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2023-06-16T11:54:24Z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