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3\LTVR\"/>
    </mc:Choice>
  </mc:AlternateContent>
  <bookViews>
    <workbookView xWindow="0" yWindow="0" windowWidth="28800" windowHeight="12435" tabRatio="798" activeTab="2"/>
  </bookViews>
  <sheets>
    <sheet name="Blatt 0" sheetId="1" r:id="rId1"/>
    <sheet name="Blatt_1_1120R01" sheetId="38" r:id="rId2"/>
    <sheet name="Blatt_2_1120R01" sheetId="41" r:id="rId3"/>
    <sheet name="Punktplan LTVR_1_1120R01" sheetId="14" r:id="rId4"/>
    <sheet name="Materialliste" sheetId="21" r:id="rId5"/>
    <sheet name="Motordaten" sheetId="25" r:id="rId6"/>
    <sheet name="Hinweise (Notes)" sheetId="19" r:id="rId7"/>
    <sheet name="Änderungshistorie" sheetId="30" r:id="rId8"/>
  </sheets>
  <definedNames>
    <definedName name="_xlnm._FilterDatabase" localSheetId="3" hidden="1">'Punktplan LTVR_1_1120R01'!$M$19:$M$32</definedName>
    <definedName name="_xlnm.Print_Area" localSheetId="0">'Blatt 0'!$A$1:$AK$60</definedName>
    <definedName name="_xlnm.Print_Area" localSheetId="1">Blatt_1_1120R01!$A$1:$AK$60</definedName>
    <definedName name="_xlnm.Print_Area" localSheetId="2">Blatt_2_1120R01!$A$1:$AK$60</definedName>
    <definedName name="_xlnm.Print_Area" localSheetId="3">'Punktplan LTVR_1_1120R01'!$A$1:$BB$58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41" l="1"/>
  <c r="X59" i="41"/>
  <c r="O59" i="41"/>
  <c r="B59" i="41"/>
  <c r="AF58" i="41"/>
  <c r="AA57" i="41"/>
  <c r="X57" i="41"/>
  <c r="O57" i="41"/>
  <c r="AB55" i="41"/>
  <c r="X55" i="41"/>
  <c r="AB54" i="41"/>
  <c r="AH53" i="41"/>
  <c r="AA59" i="38"/>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4" i="14" l="1"/>
  <c r="CL35" i="14"/>
  <c r="CL36" i="14"/>
  <c r="CL37" i="14"/>
  <c r="CL38" i="14"/>
  <c r="CL39" i="14"/>
  <c r="CL40" i="14"/>
  <c r="CL41" i="14"/>
  <c r="CL42" i="14"/>
  <c r="CL4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J32" i="14"/>
  <c r="AL32" i="14"/>
  <c r="AJ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L25" i="14"/>
  <c r="AJ25" i="14"/>
  <c r="AC41" i="14"/>
  <c r="AB40" i="14"/>
  <c r="AE40" i="14" s="1"/>
  <c r="AC40" i="14"/>
  <c r="AB39" i="14"/>
  <c r="AE39" i="14" s="1"/>
  <c r="AB31" i="14"/>
  <c r="AC39" i="14"/>
  <c r="AJ24" i="14"/>
  <c r="AL24" i="14"/>
  <c r="AB38" i="14"/>
  <c r="AE38" i="14" s="1"/>
  <c r="AB30" i="14"/>
  <c r="AC38" i="14"/>
  <c r="AB43" i="14"/>
  <c r="AE43" i="14" s="1"/>
  <c r="AB32" i="14"/>
  <c r="AB37" i="14"/>
  <c r="AE37" i="14" s="1"/>
  <c r="AB29" i="14"/>
  <c r="AL21" i="14"/>
  <c r="AJ21" i="14"/>
  <c r="AC37" i="14"/>
  <c r="AB36" i="14"/>
  <c r="AE36" i="14" s="1"/>
  <c r="AJ20" i="14"/>
  <c r="AL20" i="14"/>
  <c r="AC36" i="14"/>
  <c r="AJ23" i="14"/>
  <c r="AL23" i="14"/>
  <c r="AJ22" i="14"/>
  <c r="AL22" i="14"/>
  <c r="AJ19" i="14"/>
  <c r="AL19" i="14"/>
  <c r="BJ8" i="14"/>
  <c r="Q56" i="14" s="1"/>
  <c r="BT14" i="14"/>
  <c r="BJ9" i="14"/>
  <c r="AA10" i="14"/>
  <c r="CH29" i="14" l="1"/>
  <c r="CH30" i="14"/>
  <c r="CH32" i="14"/>
  <c r="CH31" i="14"/>
  <c r="CH33" i="14"/>
  <c r="Q58" i="14"/>
  <c r="Q57" i="14"/>
  <c r="AK10" i="14"/>
  <c r="AH10" i="14"/>
  <c r="T44" i="14" l="1"/>
  <c r="C52" i="14" l="1"/>
  <c r="AO44" i="14" l="1"/>
  <c r="O55" i="1" l="1"/>
  <c r="O55" i="41" s="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Z33" i="14"/>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Z32" i="14"/>
  <c r="Z35" i="14"/>
  <c r="AD35" i="14" s="1"/>
  <c r="Z37" i="14"/>
  <c r="AD37" i="14" s="1"/>
  <c r="Z39" i="14"/>
  <c r="AD39" i="14" s="1"/>
  <c r="Z19" i="14"/>
  <c r="AB26" i="14" l="1"/>
  <c r="CH26" i="14" s="1"/>
  <c r="AI33" i="14"/>
  <c r="AK33" i="14"/>
  <c r="AI32" i="14"/>
  <c r="AK32" i="14"/>
  <c r="AI30" i="14"/>
  <c r="AK30" i="14"/>
  <c r="AC30" i="14"/>
  <c r="AI31" i="14"/>
  <c r="AK31" i="14"/>
  <c r="AC31" i="14"/>
  <c r="AK29" i="14"/>
  <c r="AI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AD32" i="14" s="1"/>
  <c r="BV32" i="14"/>
  <c r="AE32" i="14" s="1"/>
  <c r="CL32" i="14" s="1"/>
  <c r="BW32" i="14"/>
  <c r="AC32" i="14" s="1"/>
  <c r="BW21" i="14"/>
  <c r="BU21" i="14"/>
  <c r="AD21" i="14" s="1"/>
  <c r="BV21" i="14"/>
  <c r="BW29" i="14"/>
  <c r="BU29" i="14"/>
  <c r="AD29" i="14" s="1"/>
  <c r="BV29" i="14"/>
  <c r="AE29" i="14" s="1"/>
  <c r="CL29" i="14" s="1"/>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AC33" i="14" s="1"/>
  <c r="BU33" i="14"/>
  <c r="AD33" i="14" s="1"/>
  <c r="BV33" i="14"/>
  <c r="AE33" i="14" s="1"/>
  <c r="CL33" i="14" s="1"/>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<sst xmlns="http://schemas.openxmlformats.org/spreadsheetml/2006/main" count="2236" uniqueCount="1946">
  <si>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</si>
  <si>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</si>
  <si>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</si>
  <si>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</si>
  <si>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</si>
  <si>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</si>
  <si>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</si>
  <si>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</si>
  <si>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</si>
  <si>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</si>
  <si>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</si>
  <si>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</si>
  <si>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</si>
  <si>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</si>
  <si>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</si>
  <si>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</si>
  <si>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</si>
  <si>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</si>
  <si>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</si>
  <si>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</si>
  <si>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</si>
  <si>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</si>
  <si>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</si>
  <si>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</si>
  <si>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</si>
  <si>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</si>
  <si>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</si>
  <si>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</si>
  <si>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</si>
  <si>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</si>
  <si>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</si>
  <si>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</si>
  <si>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</si>
  <si>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</si>
  <si>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</si>
  <si>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</si>
  <si>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</si>
  <si>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</si>
  <si>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</si>
  <si>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</si>
  <si>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</si>
  <si>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</si>
  <si>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</si>
  <si>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</si>
  <si>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</si>
  <si>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</si>
  <si>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</si>
  <si>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</si>
  <si>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</si>
  <si>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</si>
  <si>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</si>
  <si>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</si>
  <si>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</si>
  <si>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</si>
  <si>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</si>
  <si>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</si>
  <si>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</si>
  <si>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</si>
  <si>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</si>
  <si>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</si>
  <si>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</si>
  <si>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</si>
  <si>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</si>
  <si>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</si>
  <si>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</si>
  <si>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</si>
  <si>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</si>
  <si>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</si>
  <si>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</si>
  <si>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</si>
  <si>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</si>
  <si>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</si>
  <si>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</si>
  <si>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</si>
  <si>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</si>
  <si>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</si>
  <si>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</si>
  <si>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</si>
  <si>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</si>
  <si>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</si>
  <si>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</si>
  <si>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</si>
  <si>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</si>
  <si>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</si>
  <si>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</si>
  <si>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</si>
  <si>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</si>
  <si>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</si>
  <si>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</si>
  <si>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</si>
  <si>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</si>
  <si>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</si>
  <si>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</si>
  <si>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</si>
  <si>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</si>
  <si>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</si>
  <si>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</si>
  <si>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</si>
  <si>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</si>
  <si>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</si>
  <si>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</si>
  <si>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</si>
  <si>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</si>
  <si>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</si>
  <si>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</si>
  <si>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</si>
  <si>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</si>
  <si>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</si>
  <si>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</si>
  <si>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</si>
  <si>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</si>
  <si>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</si>
  <si>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</si>
  <si>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</si>
  <si>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</si>
  <si>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</si>
  <si>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</si>
  <si>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</si>
  <si>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</si>
  <si>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</si>
  <si>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</si>
  <si>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</si>
  <si>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</si>
  <si>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</si>
  <si>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</si>
  <si>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</si>
  <si>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</si>
  <si>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</si>
  <si>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</si>
  <si>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</si>
  <si>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</si>
  <si>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</si>
  <si>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</si>
  <si>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</si>
  <si>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</si>
  <si>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</si>
  <si>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</si>
  <si>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</si>
  <si>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</si>
  <si>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</si>
  <si>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</si>
  <si>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</si>
  <si>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</si>
  <si>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</si>
  <si>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</si>
  <si>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</si>
  <si>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</si>
  <si>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</si>
  <si>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</si>
  <si>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</si>
  <si>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</si>
  <si>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</si>
  <si>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</si>
  <si>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</si>
  <si>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</si>
  <si>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</si>
  <si>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</si>
  <si>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</si>
  <si>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</si>
  <si>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</si>
  <si>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</si>
  <si>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</si>
  <si>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</si>
  <si>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</si>
  <si>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</si>
  <si>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</si>
  <si>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</si>
  <si>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</si>
  <si>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</si>
  <si>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</si>
  <si>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</si>
  <si>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</si>
  <si>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</si>
  <si>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</si>
  <si>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</si>
  <si>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</si>
  <si>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</si>
  <si>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</si>
  <si>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</si>
  <si>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</si>
  <si>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</si>
  <si>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</si>
  <si>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</si>
  <si>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</si>
  <si>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</si>
  <si>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</si>
  <si>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</si>
  <si>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</si>
  <si>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</si>
  <si>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</si>
  <si>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</si>
  <si>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</si>
  <si>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</si>
  <si>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</si>
  <si>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</si>
  <si>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</si>
  <si>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</si>
  <si>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</si>
  <si>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</si>
  <si>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</si>
  <si>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</si>
  <si>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</si>
  <si>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</si>
  <si>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</si>
  <si>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</si>
  <si>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</si>
  <si>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</si>
  <si>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</si>
  <si>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</si>
  <si>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</si>
  <si>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</si>
  <si>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</si>
  <si>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</si>
  <si>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</si>
  <si>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</si>
  <si>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</si>
  <si>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</si>
  <si>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</si>
  <si>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</si>
  <si>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</si>
  <si>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</si>
  <si>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</si>
  <si>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</si>
  <si>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</si>
  <si>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</si>
  <si>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</si>
  <si>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</si>
  <si>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</si>
  <si>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</si>
  <si>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</si>
  <si>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</si>
  <si>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</si>
  <si>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</si>
  <si>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</si>
  <si>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</si>
  <si>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</si>
  <si>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</si>
  <si>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</si>
  <si>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</si>
  <si>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</si>
  <si>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</si>
  <si>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</si>
  <si>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</si>
  <si>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</si>
  <si>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</si>
  <si>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</si>
  <si>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</si>
  <si>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</si>
  <si>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</si>
  <si>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</si>
  <si>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</si>
  <si>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</si>
  <si>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</si>
  <si>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</si>
  <si>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</si>
  <si>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</si>
  <si>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</si>
  <si>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</si>
  <si>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</si>
  <si>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</si>
  <si>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</si>
  <si>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</si>
  <si>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</si>
  <si>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</si>
  <si>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</si>
  <si>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</si>
  <si>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</si>
  <si>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</si>
  <si>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</si>
  <si>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</si>
  <si>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</si>
  <si>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</si>
  <si>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</si>
  <si>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</si>
  <si>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</si>
  <si>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</si>
  <si>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</si>
  <si>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</si>
  <si>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</si>
  <si>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</si>
  <si>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</si>
  <si>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</si>
  <si>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</si>
  <si>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</si>
  <si>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</si>
  <si>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</si>
  <si>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</si>
  <si>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</si>
  <si>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</si>
  <si>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</si>
  <si>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</si>
  <si>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</si>
  <si>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</si>
  <si>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</si>
  <si>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</si>
  <si>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</si>
  <si>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</si>
  <si>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</si>
  <si>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</si>
  <si>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</si>
  <si>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</si>
  <si>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</si>
  <si>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</si>
  <si>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</si>
  <si>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</si>
  <si>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</si>
  <si>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</si>
  <si>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</si>
  <si>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</si>
  <si>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</si>
  <si>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</si>
  <si>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</si>
  <si>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</si>
  <si>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</si>
  <si>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</si>
  <si>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</si>
  <si>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</si>
  <si>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</si>
  <si>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</si>
  <si>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</si>
  <si>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</si>
  <si>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</si>
  <si>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</si>
  <si>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</si>
  <si>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</si>
  <si>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</si>
  <si>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</si>
  <si>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</si>
  <si>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</si>
  <si>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</si>
  <si>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</si>
  <si>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</si>
  <si>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</si>
  <si>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</si>
  <si>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</si>
  <si>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</si>
  <si>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</si>
  <si>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</si>
  <si>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</si>
  <si>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</si>
  <si>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</si>
  <si>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</si>
  <si>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</si>
  <si>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</si>
  <si>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</si>
  <si>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</si>
  <si>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</si>
  <si>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</si>
  <si>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</si>
  <si>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</si>
  <si>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</si>
  <si>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</si>
  <si>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</si>
  <si>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</si>
  <si>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</si>
  <si>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</si>
  <si>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</si>
  <si>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</si>
  <si>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</si>
  <si>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</si>
  <si>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</si>
  <si>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</si>
  <si>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</si>
  <si>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</si>
  <si>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</si>
  <si>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</si>
  <si>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</si>
  <si>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</si>
  <si>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</si>
  <si>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</si>
  <si>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</si>
  <si>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</si>
  <si>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</si>
  <si>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</si>
  <si>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</si>
  <si>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</si>
  <si>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</si>
  <si>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</si>
  <si>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</si>
  <si>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</si>
  <si>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</si>
  <si>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</si>
  <si>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</si>
  <si>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</si>
  <si>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</si>
  <si>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</si>
  <si>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</si>
  <si>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</si>
  <si>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</si>
  <si>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</si>
  <si>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</si>
  <si>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</si>
  <si>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</si>
  <si>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</si>
  <si>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</si>
  <si>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</si>
  <si>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</si>
  <si>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</si>
  <si>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</si>
  <si>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</si>
  <si>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</si>
  <si>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</si>
  <si>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</si>
  <si>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</si>
  <si>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</si>
  <si>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</si>
  <si>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</si>
  <si>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</si>
  <si>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</si>
  <si>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</si>
  <si>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</si>
  <si>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</si>
  <si>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</si>
  <si>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</si>
  <si>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</si>
  <si>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</si>
  <si>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</si>
  <si>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</si>
  <si>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</si>
  <si>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</si>
  <si>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</si>
  <si>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</si>
  <si>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</si>
  <si>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</si>
  <si>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</si>
  <si>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</si>
  <si>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</si>
  <si>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</si>
  <si>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</si>
  <si>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</si>
  <si>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</si>
  <si>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</si>
  <si>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</si>
  <si>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</si>
  <si>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</si>
  <si>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</si>
  <si>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</si>
  <si>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</si>
  <si>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</si>
  <si>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</si>
  <si>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</si>
  <si>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</si>
  <si>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</si>
  <si>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</si>
  <si>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</si>
  <si>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</si>
  <si>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</si>
  <si>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</si>
  <si>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</si>
  <si>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</si>
  <si>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</si>
  <si>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</si>
  <si>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</si>
  <si>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</si>
  <si>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</si>
  <si>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</si>
  <si>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</si>
  <si>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</si>
  <si>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</si>
  <si>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</si>
  <si>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</si>
  <si>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</si>
  <si>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</si>
  <si>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</si>
  <si>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</si>
  <si>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</si>
  <si>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</si>
  <si>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</si>
  <si>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</si>
  <si>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</si>
  <si>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</si>
  <si>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</si>
  <si>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</si>
  <si>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</si>
  <si>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</si>
  <si>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</si>
  <si>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</si>
  <si>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</si>
  <si>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</si>
  <si>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</si>
  <si>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</si>
  <si>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</si>
  <si>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</si>
  <si>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</si>
  <si>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</si>
  <si>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</si>
  <si>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</si>
  <si>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</si>
  <si>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</si>
  <si>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</si>
  <si>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</si>
  <si>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</si>
  <si>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</si>
  <si>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</si>
  <si>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</si>
  <si>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</si>
  <si>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</si>
  <si>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</si>
  <si>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</si>
  <si>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</si>
  <si>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</si>
  <si>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</si>
  <si>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</si>
  <si>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</si>
  <si>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</si>
  <si>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</si>
  <si>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</si>
  <si>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</si>
  <si>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</si>
  <si>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</si>
  <si>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</si>
  <si>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</si>
  <si>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</si>
  <si>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</si>
  <si>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</si>
  <si>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</si>
  <si>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</si>
  <si>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</si>
  <si>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</si>
  <si>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</si>
  <si>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</si>
  <si>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</si>
  <si>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</si>
  <si>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</si>
  <si>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</si>
  <si>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</si>
  <si>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</si>
  <si>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</si>
  <si>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</si>
  <si>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</si>
  <si>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</si>
  <si>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</si>
  <si>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</si>
  <si>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</si>
  <si>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</si>
  <si>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</si>
  <si>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</si>
  <si>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</si>
  <si>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</si>
  <si>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</si>
  <si>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</si>
  <si>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</si>
  <si>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</si>
  <si>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</si>
  <si>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</si>
  <si>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</si>
  <si>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</si>
  <si>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</si>
  <si>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</si>
  <si>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</si>
  <si>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</si>
  <si>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</si>
  <si>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</si>
  <si>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</si>
  <si>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</si>
  <si>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</si>
  <si>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</si>
  <si>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</si>
  <si>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</si>
  <si>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</si>
  <si>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</si>
  <si>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</si>
  <si>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</si>
  <si>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</si>
  <si>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</si>
  <si>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</si>
  <si>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</si>
  <si>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</si>
  <si>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</si>
  <si>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</si>
  <si>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</si>
  <si>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</si>
  <si>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</si>
  <si>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</si>
  <si>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</si>
  <si>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</si>
  <si>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</si>
  <si>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</si>
  <si>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</si>
  <si>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</si>
  <si>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</si>
  <si>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</si>
  <si>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</si>
  <si>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</si>
  <si>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</si>
  <si>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</si>
  <si>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</si>
  <si>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</si>
  <si>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</si>
  <si>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</si>
  <si>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</si>
  <si>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</si>
  <si>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</si>
  <si>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</si>
  <si>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</si>
  <si>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</si>
  <si>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</si>
  <si>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</si>
  <si>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</si>
  <si>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</si>
  <si>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</si>
  <si>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</si>
  <si>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</si>
  <si>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</si>
  <si>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</si>
  <si>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</si>
  <si>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</si>
  <si>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</si>
  <si>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</si>
  <si>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</si>
  <si>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</si>
  <si>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</si>
  <si>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</si>
  <si>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</si>
  <si>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</si>
  <si>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</si>
  <si>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</si>
  <si>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</si>
  <si>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</si>
  <si>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</si>
  <si>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</si>
  <si>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</si>
  <si>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</si>
  <si>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</si>
  <si>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</si>
  <si>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</si>
  <si>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</si>
  <si>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</si>
  <si>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</si>
  <si>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</si>
  <si>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</si>
  <si>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</si>
  <si>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</si>
  <si>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</si>
  <si>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</si>
  <si>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</si>
  <si>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</si>
  <si>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</si>
  <si>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</si>
  <si>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</si>
  <si>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</si>
  <si>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</si>
  <si>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</si>
  <si>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</si>
  <si>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</si>
  <si>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</si>
  <si>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</si>
  <si>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</si>
  <si>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</si>
  <si>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</si>
  <si>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</si>
  <si>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</si>
  <si>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</si>
  <si>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</si>
  <si>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</si>
  <si>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</si>
  <si>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</si>
  <si>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</si>
  <si>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</si>
  <si>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</si>
  <si>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</si>
  <si>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</si>
  <si>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</si>
  <si>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</si>
  <si>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</si>
  <si>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</si>
  <si>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</si>
  <si>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</si>
  <si>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</si>
  <si>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</si>
  <si>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</si>
  <si>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</si>
  <si>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</si>
  <si>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</si>
  <si>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</si>
  <si>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</si>
  <si>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</si>
  <si>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</si>
  <si>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</si>
  <si>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</si>
  <si>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</si>
  <si>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</si>
  <si>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</si>
  <si>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</si>
  <si>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</si>
  <si>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</si>
  <si>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</si>
  <si>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</si>
  <si>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</si>
  <si>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</si>
  <si>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</si>
  <si>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</si>
  <si>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</si>
  <si>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</si>
  <si>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</si>
  <si>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</si>
  <si>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</si>
  <si>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</si>
  <si>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</si>
  <si>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</si>
  <si>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</si>
  <si>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</si>
  <si>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</si>
  <si>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</si>
  <si>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</si>
  <si>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</si>
  <si>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</si>
  <si>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</si>
  <si>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</si>
  <si>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</si>
  <si>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</si>
  <si>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</si>
  <si>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</si>
  <si>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</si>
  <si>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</si>
  <si>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</si>
  <si>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</si>
  <si>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</si>
  <si>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</si>
  <si>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</si>
  <si>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</si>
  <si>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</si>
  <si>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</si>
  <si>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</si>
  <si>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</si>
  <si>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</si>
  <si>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</si>
  <si>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</si>
  <si>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</si>
  <si>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</si>
  <si>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</si>
  <si>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</si>
  <si>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</si>
  <si>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</si>
  <si>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</si>
  <si>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</si>
  <si>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</si>
  <si>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</si>
  <si>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</si>
  <si>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</si>
  <si>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</si>
  <si>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</si>
  <si>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</si>
  <si>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</si>
  <si>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</si>
  <si>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</si>
  <si>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</si>
  <si>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</si>
  <si>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</si>
  <si>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</si>
  <si>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</si>
  <si>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</si>
  <si>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</si>
  <si>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</si>
  <si>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</si>
  <si>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</si>
  <si>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</si>
  <si>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</si>
  <si>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</si>
  <si>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</si>
  <si>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</si>
  <si>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</si>
  <si>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</si>
  <si>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</si>
  <si>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</si>
  <si>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</si>
  <si>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</si>
  <si>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</si>
  <si>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</si>
  <si>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</si>
  <si>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</si>
  <si>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</si>
  <si>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</si>
  <si>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</si>
  <si>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</si>
  <si>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</si>
  <si>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</si>
  <si>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</si>
  <si>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</si>
  <si>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</si>
  <si>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</si>
  <si>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</si>
  <si>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</si>
  <si>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</si>
  <si>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</si>
  <si>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</si>
  <si>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</si>
  <si>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</si>
  <si>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</si>
  <si>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</si>
  <si>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</si>
  <si>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</si>
  <si>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</si>
  <si>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</si>
  <si>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</si>
  <si>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</si>
  <si>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</si>
  <si>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</si>
  <si>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</si>
  <si>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</si>
  <si>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</si>
  <si>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</si>
  <si>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</si>
  <si>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</si>
  <si>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</si>
  <si>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</si>
  <si>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</si>
  <si>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</si>
  <si>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</si>
  <si>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</si>
  <si>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</si>
  <si>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</si>
  <si>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</si>
  <si>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</si>
  <si>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</si>
  <si>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</si>
  <si>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</si>
  <si>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</si>
  <si>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</si>
  <si>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</si>
  <si>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</si>
  <si>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</si>
  <si>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</si>
  <si>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</si>
  <si>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</si>
  <si>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</si>
  <si>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</si>
  <si>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</si>
  <si>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</si>
  <si>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</si>
  <si>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</si>
  <si>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</si>
  <si>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</si>
  <si>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</si>
  <si>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</si>
  <si>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</si>
  <si>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</si>
  <si>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</si>
  <si>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</si>
  <si>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</si>
  <si>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</si>
  <si>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</si>
  <si>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</si>
  <si>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</si>
  <si>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</si>
  <si>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</si>
  <si>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</si>
  <si>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</si>
  <si>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</si>
  <si>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</si>
  <si>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</si>
  <si>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</si>
  <si>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</si>
  <si>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</si>
  <si>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</si>
  <si>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</si>
  <si>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</si>
  <si>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</si>
  <si>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</si>
  <si>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</si>
  <si>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</si>
  <si>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</si>
  <si>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</si>
  <si>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</si>
  <si>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</si>
  <si>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</si>
  <si>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</si>
  <si>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</si>
  <si>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</si>
  <si>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</si>
  <si>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</si>
  <si>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</si>
  <si>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</si>
  <si>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</si>
  <si>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</si>
  <si>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</si>
  <si>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</si>
  <si>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</si>
  <si>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</si>
  <si>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</si>
  <si>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</si>
  <si>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</si>
  <si>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</si>
  <si>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</si>
  <si>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</si>
  <si>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</si>
  <si>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</si>
  <si>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</si>
  <si>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</si>
  <si>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</si>
  <si>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</si>
  <si>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</si>
  <si>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</si>
  <si>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</si>
  <si>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</si>
  <si>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</si>
  <si>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</si>
  <si>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</si>
  <si>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</si>
  <si>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</si>
  <si>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</si>
  <si>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</si>
  <si>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</si>
  <si>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</si>
  <si>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</si>
  <si>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</si>
  <si>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</si>
  <si>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</si>
  <si>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</si>
  <si>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</si>
  <si>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</si>
  <si>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</si>
  <si>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</si>
  <si>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</si>
  <si>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</si>
  <si>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</si>
  <si>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</si>
  <si>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</si>
  <si>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</si>
  <si>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</si>
  <si>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</si>
  <si>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</si>
  <si>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</si>
  <si>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</si>
  <si>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</si>
  <si>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</si>
  <si>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</si>
  <si>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</si>
  <si>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</si>
  <si>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</si>
  <si>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</si>
  <si>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</si>
  <si>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</si>
  <si>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</si>
  <si>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</si>
  <si>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</si>
  <si>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</si>
  <si>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</si>
  <si>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</si>
  <si>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</si>
  <si>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</si>
  <si>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</si>
  <si>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</si>
  <si>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</si>
  <si>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</si>
  <si>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</si>
  <si>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</si>
  <si>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</si>
  <si>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</si>
  <si>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</si>
  <si>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</si>
  <si>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</si>
  <si>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</si>
  <si>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</si>
  <si>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</si>
  <si>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</si>
  <si>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</si>
  <si>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</si>
  <si>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</si>
  <si>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</si>
  <si>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</si>
  <si>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</si>
  <si>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</si>
  <si>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</si>
  <si>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</si>
  <si>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</si>
  <si>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</si>
  <si>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</si>
  <si>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</si>
  <si>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</si>
  <si>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</si>
  <si>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</si>
  <si>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</si>
  <si>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</si>
  <si>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</si>
  <si>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</si>
  <si>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</si>
  <si>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</si>
  <si>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</si>
  <si>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</si>
  <si>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</si>
  <si>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</si>
  <si>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</si>
  <si>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</si>
  <si>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</si>
  <si>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</si>
  <si>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</si>
  <si>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</si>
  <si>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</si>
  <si>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</si>
  <si>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</si>
  <si>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</si>
  <si>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</si>
  <si>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</si>
  <si>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</si>
  <si>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</si>
  <si>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</si>
  <si>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</si>
  <si>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</si>
  <si>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</si>
  <si>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</si>
  <si>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</si>
  <si>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</si>
  <si>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</si>
  <si>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</si>
  <si>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</si>
  <si>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</si>
  <si>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</si>
  <si>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</si>
  <si>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</si>
  <si>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</si>
  <si>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</si>
  <si>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</si>
  <si>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</si>
  <si>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</si>
  <si>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</si>
  <si>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</si>
  <si>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</si>
  <si>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</si>
  <si>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</si>
  <si>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</si>
  <si>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</si>
  <si>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</si>
  <si>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</si>
  <si>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</si>
  <si>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</si>
  <si>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</si>
  <si>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</si>
  <si>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</si>
  <si>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</si>
  <si>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</si>
  <si>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</si>
  <si>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</si>
  <si>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</si>
  <si>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</si>
  <si>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</si>
  <si>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</si>
  <si>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</si>
  <si>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</si>
  <si>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</si>
  <si>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</si>
  <si>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</si>
  <si>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</si>
  <si>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</si>
  <si>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</si>
  <si>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</si>
  <si>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</si>
  <si>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</si>
  <si>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</si>
  <si>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</si>
  <si>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</si>
  <si>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</si>
  <si>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</si>
  <si>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</si>
  <si>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</si>
  <si>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</si>
  <si>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</si>
  <si>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</si>
  <si>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</si>
  <si>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</si>
  <si>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</si>
  <si>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</si>
  <si>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</si>
  <si>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</si>
  <si>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</si>
  <si>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</si>
  <si>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</si>
  <si>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</si>
  <si>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</si>
  <si>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</si>
  <si>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</si>
  <si>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</si>
  <si>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</si>
  <si>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</si>
  <si>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</si>
  <si>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</si>
  <si>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</si>
  <si>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</si>
  <si>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</si>
  <si>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</si>
  <si>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</si>
  <si>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</si>
  <si>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</si>
  <si>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</si>
  <si>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</si>
  <si>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</si>
  <si>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</si>
  <si>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</si>
  <si>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</si>
  <si>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</si>
  <si>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</si>
  <si>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</si>
  <si>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</si>
  <si>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</si>
  <si>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</si>
  <si>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</si>
  <si>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</si>
  <si>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</si>
  <si>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</si>
  <si>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</si>
  <si>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</si>
  <si>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</si>
  <si>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</si>
  <si>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</si>
  <si>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</si>
  <si>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</si>
  <si>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</si>
  <si>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</si>
  <si>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</si>
  <si>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</si>
  <si>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</si>
  <si>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</si>
  <si>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</si>
  <si>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</si>
  <si>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</si>
  <si>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</si>
  <si>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</si>
  <si>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</si>
  <si>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</si>
  <si>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</si>
  <si>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</si>
  <si>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</si>
  <si>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</si>
  <si>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</si>
  <si>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</si>
  <si>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</si>
  <si>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</si>
  <si>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</si>
  <si>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</si>
  <si>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</si>
  <si>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</si>
  <si>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</si>
  <si>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</si>
  <si>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</si>
  <si>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</si>
  <si>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</si>
  <si>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</si>
  <si>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</si>
  <si>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</si>
  <si>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</si>
  <si>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</si>
  <si>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</si>
  <si>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</si>
  <si>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</si>
  <si>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</si>
  <si>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</si>
  <si>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</si>
  <si>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</si>
  <si>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</si>
  <si>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</si>
  <si>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</si>
  <si>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</si>
  <si>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</si>
  <si>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</si>
  <si>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</si>
  <si>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</si>
  <si>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</si>
  <si>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</si>
  <si>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</si>
  <si>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</si>
  <si>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</si>
  <si>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</si>
  <si>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</si>
  <si>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</si>
  <si>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</si>
  <si>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</si>
  <si>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</si>
  <si>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</si>
  <si>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</si>
  <si>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</si>
  <si>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</si>
  <si>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</si>
  <si>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</si>
  <si>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</si>
  <si>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</si>
  <si>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</si>
  <si>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</si>
  <si>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</si>
  <si>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</si>
  <si>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</si>
  <si>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</si>
  <si>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</si>
  <si>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</si>
  <si>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</si>
  <si>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</si>
  <si>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</si>
  <si>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</si>
  <si>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</si>
  <si>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</si>
  <si>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</si>
  <si>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</si>
  <si>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</si>
  <si>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</si>
  <si>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</si>
  <si>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</si>
  <si>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</si>
  <si>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</si>
  <si>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</si>
  <si>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</si>
  <si>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</si>
  <si>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</si>
  <si>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</si>
  <si>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</si>
  <si>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</si>
  <si>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</si>
  <si>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</si>
  <si>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</si>
  <si>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</si>
  <si>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</si>
  <si>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</si>
  <si>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</si>
  <si>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</si>
  <si>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</si>
  <si>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</si>
  <si>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</si>
  <si>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</si>
  <si>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</si>
  <si>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</si>
  <si>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</si>
  <si>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</si>
  <si>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</si>
  <si>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</si>
  <si>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</si>
  <si>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</si>
  <si>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</si>
  <si>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</si>
  <si>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</si>
  <si>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</si>
  <si>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</si>
  <si>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</si>
  <si>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</si>
  <si>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</si>
  <si>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</si>
  <si>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</si>
  <si>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</si>
  <si>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</si>
  <si>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</si>
  <si>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</si>
  <si>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</si>
  <si>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</si>
  <si>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</si>
  <si>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</si>
  <si>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</si>
  <si>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</si>
  <si>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</si>
  <si>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</si>
  <si>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</si>
  <si>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</si>
  <si>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</si>
  <si>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</si>
  <si>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</si>
  <si>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</si>
  <si>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</si>
  <si>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</si>
  <si>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</si>
  <si>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</si>
  <si>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</si>
  <si>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</si>
  <si>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</si>
  <si>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</si>
  <si>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</si>
  <si>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</si>
  <si>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</si>
  <si>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</si>
  <si>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</si>
  <si>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</si>
  <si>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</si>
  <si>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</si>
  <si>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</si>
  <si>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</si>
  <si>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</si>
  <si>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</si>
  <si>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</si>
  <si>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</si>
  <si>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</si>
  <si>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</si>
  <si>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</si>
  <si>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</si>
  <si>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</si>
  <si>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</si>
  <si>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</si>
  <si>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</si>
  <si>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</si>
  <si>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</si>
  <si>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</si>
  <si>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</si>
  <si>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</si>
  <si>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</si>
  <si>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</si>
  <si>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</si>
  <si>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</si>
  <si>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</si>
  <si>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</si>
  <si>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</si>
  <si>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</si>
  <si>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</si>
  <si>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</si>
  <si>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</si>
  <si>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</si>
  <si>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</si>
  <si>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</si>
  <si>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</si>
  <si>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</si>
  <si>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</si>
  <si>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</si>
  <si>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</si>
  <si>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</si>
  <si>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</si>
  <si>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</si>
  <si>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</si>
  <si>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</si>
  <si>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</si>
  <si>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</si>
  <si>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</si>
  <si>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</si>
  <si>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</si>
  <si>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</si>
  <si>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</si>
  <si>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</si>
  <si>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</si>
  <si>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</si>
  <si>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</si>
  <si>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</si>
  <si>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</si>
  <si>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</si>
  <si>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</si>
  <si>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</si>
  <si>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</si>
  <si>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</si>
  <si>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</si>
  <si>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</si>
  <si>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</si>
  <si>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</si>
  <si>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</si>
  <si>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</si>
  <si>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</si>
  <si>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</si>
  <si>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</si>
  <si>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</si>
  <si>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</si>
  <si>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</si>
  <si>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</si>
  <si>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</si>
  <si>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</si>
  <si>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</si>
  <si>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</si>
  <si>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</si>
  <si>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</si>
  <si>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</si>
  <si>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</si>
  <si>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</si>
  <si>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</si>
  <si>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</si>
  <si>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</si>
  <si>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</si>
  <si>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</si>
  <si>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</si>
  <si>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</si>
  <si>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</si>
  <si>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</si>
  <si>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</si>
  <si>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</si>
  <si>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</si>
  <si>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</si>
  <si>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</si>
  <si>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</si>
  <si>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</si>
  <si>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</si>
  <si>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</si>
  <si>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</si>
  <si>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</si>
  <si>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</si>
  <si>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</si>
  <si>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</si>
  <si>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</si>
  <si>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</si>
  <si>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</si>
  <si>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</si>
  <si>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</si>
  <si>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</si>
  <si>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</si>
  <si>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</si>
  <si>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</si>
  <si>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</si>
  <si>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</si>
  <si>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</si>
  <si>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</si>
  <si>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</si>
  <si>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</si>
  <si>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</si>
  <si>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</si>
  <si>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</si>
  <si>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</si>
  <si>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</si>
  <si>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</si>
  <si>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</si>
  <si>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</si>
  <si>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</si>
  <si>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</si>
  <si>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</si>
  <si>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</si>
  <si>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</si>
  <si>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</si>
  <si>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</si>
  <si>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</si>
  <si>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</si>
  <si>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</si>
  <si>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</si>
  <si>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</si>
  <si>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</si>
  <si>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</si>
  <si>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</si>
  <si>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</si>
  <si>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</si>
  <si>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</si>
  <si>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</si>
  <si>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</si>
  <si>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</si>
  <si>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</si>
  <si>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</si>
  <si>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</si>
  <si>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</si>
  <si>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</si>
  <si>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</si>
  <si>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</si>
  <si>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</si>
  <si>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</si>
  <si>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</si>
  <si>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</si>
  <si>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</si>
  <si>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</si>
  <si>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</si>
  <si>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</si>
  <si>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</si>
  <si>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</si>
  <si>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</si>
  <si>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</si>
  <si>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</si>
  <si>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</si>
  <si>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</si>
  <si>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</si>
  <si>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</si>
  <si>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</si>
  <si>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</si>
  <si>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</si>
  <si>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</si>
  <si>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</si>
  <si>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</si>
  <si>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</si>
  <si>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</si>
  <si>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</si>
  <si>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</si>
  <si>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</si>
  <si>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</si>
  <si>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</si>
  <si>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</si>
  <si>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</si>
  <si>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</si>
  <si>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</si>
  <si>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</si>
  <si>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</si>
  <si>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</si>
  <si>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</si>
  <si>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</si>
  <si>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</si>
  <si>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</si>
  <si>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</si>
  <si>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</si>
  <si>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</si>
  <si>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</si>
  <si>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</si>
  <si>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</si>
  <si>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</si>
  <si>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</si>
  <si>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</si>
  <si>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</si>
  <si>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</si>
  <si>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</si>
  <si>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</si>
  <si>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</si>
  <si>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</si>
  <si>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</si>
  <si>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</si>
  <si>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</si>
  <si>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</si>
  <si>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</si>
  <si>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</si>
  <si>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</si>
  <si>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</si>
  <si>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</si>
  <si>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</si>
  <si>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</si>
  <si>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</si>
  <si>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</si>
  <si>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</si>
  <si>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</si>
  <si>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</si>
  <si>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</si>
  <si>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</si>
  <si>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</si>
  <si>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</si>
  <si>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</si>
  <si>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</si>
  <si>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</si>
  <si>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</si>
  <si>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</si>
  <si>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</si>
  <si>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</si>
  <si>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</si>
  <si>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</si>
  <si>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</si>
  <si>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</si>
  <si>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</si>
  <si>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</si>
  <si>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</si>
  <si>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</si>
  <si>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</si>
  <si>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</si>
  <si>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</si>
  <si>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</si>
  <si>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</si>
  <si>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</si>
  <si>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</si>
  <si>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</si>
  <si>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</si>
  <si>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</si>
  <si>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</si>
  <si>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</si>
  <si>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</si>
  <si>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</si>
  <si>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</si>
  <si>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</si>
  <si>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</si>
  <si>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</si>
  <si>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</si>
  <si>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</si>
  <si>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</si>
  <si>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</si>
  <si>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</si>
  <si>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</si>
  <si>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</si>
  <si>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</si>
  <si>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</si>
  <si>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</si>
  <si>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</si>
  <si>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</si>
  <si>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</si>
  <si>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</si>
  <si>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</si>
  <si>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</si>
  <si>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</si>
  <si>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</si>
  <si>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</si>
  <si>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</si>
  <si>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</si>
  <si>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</si>
  <si>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</si>
  <si>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</si>
  <si>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</si>
  <si>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</si>
  <si>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</si>
  <si>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</si>
  <si>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</si>
  <si>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</si>
  <si>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</si>
  <si>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</si>
  <si>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</si>
  <si>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</si>
  <si>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</si>
  <si>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</si>
  <si>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</si>
  <si>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</si>
  <si>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</si>
  <si>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</si>
  <si>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</si>
  <si>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</si>
  <si>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</si>
  <si>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</si>
  <si>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</si>
  <si>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</si>
  <si>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</si>
  <si>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</si>
  <si>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</si>
  <si>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</si>
  <si>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</si>
  <si>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</si>
  <si>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</si>
  <si>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</si>
  <si>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</si>
  <si>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</si>
  <si>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</si>
  <si>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</si>
  <si>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</si>
  <si>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</si>
  <si>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</si>
  <si>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</si>
  <si>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</si>
  <si>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</si>
  <si>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</si>
  <si>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</si>
  <si>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</si>
  <si>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</si>
  <si>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</si>
  <si>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</si>
  <si>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</si>
  <si>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</si>
  <si>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</si>
  <si>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</si>
  <si>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</si>
  <si>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</si>
  <si>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</si>
  <si>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</si>
  <si>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</si>
  <si>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</si>
  <si>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</si>
  <si>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</si>
  <si>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</si>
  <si>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</si>
  <si>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</si>
  <si>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</si>
  <si>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</si>
  <si>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</si>
  <si>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</si>
  <si>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</si>
  <si>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</si>
  <si>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</si>
  <si>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</si>
  <si>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</si>
  <si>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</si>
  <si>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</si>
  <si>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</si>
  <si>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</si>
  <si>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</si>
  <si>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</si>
  <si>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</si>
  <si>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</si>
  <si>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</si>
  <si>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</si>
  <si>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</si>
  <si>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</si>
  <si>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</si>
  <si>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</si>
  <si>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</si>
  <si>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</si>
  <si>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</si>
  <si>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</si>
  <si>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</si>
  <si>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</si>
  <si>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</si>
  <si>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</si>
  <si>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</si>
  <si>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</si>
  <si>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</si>
  <si>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</si>
  <si>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</si>
  <si>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</si>
  <si>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</si>
  <si>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</si>
  <si>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</si>
  <si>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</si>
  <si>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</si>
  <si>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</si>
  <si>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</si>
  <si>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</si>
  <si>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</si>
  <si>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</si>
  <si>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</si>
  <si>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</si>
  <si>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</si>
  <si>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</si>
  <si>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</si>
  <si>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X</t>
  </si>
  <si>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</si>
  <si>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</si>
  <si>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</si>
  <si>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</si>
  <si>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</si>
  <si>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</si>
  <si>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</si>
  <si>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</si>
  <si>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</si>
  <si>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</si>
  <si>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</si>
  <si>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</si>
  <si>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</si>
  <si>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</si>
  <si>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</si>
  <si>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</si>
  <si>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</si>
  <si>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</si>
  <si>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</si>
  <si>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</si>
  <si>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</si>
  <si>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</si>
  <si>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</si>
  <si>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</si>
  <si>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</si>
  <si>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</si>
  <si>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</si>
  <si>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</si>
  <si>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</si>
  <si>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</si>
  <si>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</si>
  <si>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</si>
  <si>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</si>
  <si>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</si>
  <si>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</si>
  <si>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</si>
  <si>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</si>
  <si>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</si>
  <si>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</si>
  <si>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</si>
  <si>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</si>
  <si>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</si>
  <si>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</si>
  <si>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</si>
  <si>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</si>
  <si>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</si>
  <si>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</si>
  <si>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</si>
  <si>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</si>
  <si>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</si>
  <si>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</si>
  <si>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</si>
  <si>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</si>
  <si>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</si>
  <si>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</si>
  <si>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</si>
  <si>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</si>
  <si>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</si>
  <si>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</si>
  <si>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</si>
  <si>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</si>
  <si>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</si>
  <si>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</si>
  <si>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</si>
  <si>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</si>
  <si>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</si>
  <si>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</si>
  <si>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</si>
  <si>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</si>
  <si>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</si>
  <si>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</si>
  <si>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</si>
  <si>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</si>
  <si>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</si>
  <si>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</si>
  <si>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</si>
  <si>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</si>
  <si>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</si>
  <si>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</si>
  <si>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</si>
  <si>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</si>
  <si>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</si>
  <si>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</si>
  <si>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</si>
  <si>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</si>
  <si>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</si>
  <si>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</si>
  <si>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</si>
  <si>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</si>
  <si>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</si>
  <si>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</si>
  <si>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</si>
  <si>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</si>
  <si>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</si>
  <si>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</si>
  <si>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</si>
  <si>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</si>
  <si>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</si>
  <si>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</si>
  <si>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</si>
  <si>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</si>
  <si>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</si>
  <si>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</si>
  <si>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</si>
  <si>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</si>
  <si>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</si>
  <si>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</si>
  <si>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</si>
  <si>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</si>
  <si>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</si>
  <si>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</si>
  <si>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</si>
  <si>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</si>
  <si>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</si>
  <si>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</si>
  <si>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</si>
  <si>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</si>
  <si>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</si>
  <si>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</si>
  <si>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</si>
  <si>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</si>
  <si>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</si>
  <si>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</si>
  <si>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</si>
  <si>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</si>
  <si>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</si>
  <si>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</si>
  <si>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</si>
  <si>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</si>
  <si>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</si>
  <si>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</si>
  <si>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</si>
  <si>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</si>
  <si>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</si>
  <si>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</si>
  <si>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</si>
  <si>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</si>
  <si>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</si>
  <si>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</si>
  <si>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</si>
  <si>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</si>
  <si>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</si>
  <si>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</si>
  <si>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</si>
  <si>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</si>
  <si>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</si>
  <si>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</si>
  <si>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</si>
  <si>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</si>
  <si>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</si>
  <si>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</si>
  <si>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</si>
  <si>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</si>
  <si>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</si>
  <si>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</si>
  <si>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</si>
  <si>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</si>
  <si>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</si>
  <si>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</si>
  <si>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</si>
  <si>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</si>
  <si>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</si>
  <si>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</si>
  <si>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</si>
  <si>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</si>
  <si>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</si>
  <si>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</si>
  <si>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</si>
  <si>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</si>
  <si>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</si>
  <si>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</si>
  <si>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</si>
  <si>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</si>
  <si>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</si>
  <si>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</si>
  <si>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</si>
  <si>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</si>
  <si>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</si>
  <si>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</si>
  <si>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</si>
  <si>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</si>
  <si>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</si>
  <si>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</si>
  <si>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</si>
  <si>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</si>
  <si>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</si>
  <si>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</si>
  <si>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</si>
  <si>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</si>
  <si>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</si>
  <si>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</si>
  <si>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</si>
  <si>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</si>
  <si>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</si>
  <si>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</si>
  <si>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</si>
  <si>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</si>
  <si>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</si>
  <si>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</si>
  <si>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</si>
  <si>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</si>
  <si>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</si>
  <si>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</si>
  <si>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</si>
  <si>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</si>
  <si>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</si>
  <si>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</si>
  <si>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</si>
  <si>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</si>
  <si>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</si>
  <si>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</si>
  <si>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</si>
  <si>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</si>
  <si>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</si>
  <si>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</si>
  <si>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</si>
  <si>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</si>
  <si>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</si>
  <si>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</si>
  <si>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</si>
  <si>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</si>
  <si>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</si>
  <si>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</si>
  <si>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</si>
  <si>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</si>
  <si>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</si>
  <si>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</si>
  <si>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</si>
  <si>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</si>
  <si>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</si>
  <si>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</si>
  <si>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</si>
  <si>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</si>
  <si>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</si>
  <si>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</si>
  <si>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</si>
  <si>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</si>
  <si>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</si>
  <si>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</si>
  <si>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</si>
  <si>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</si>
  <si>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</si>
  <si>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</si>
  <si>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</si>
  <si>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</si>
  <si>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</si>
  <si>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</si>
  <si>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</si>
  <si>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</si>
  <si>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</si>
  <si>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</si>
  <si>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</si>
  <si>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</si>
  <si>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</si>
  <si>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</si>
  <si>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</si>
  <si>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</si>
  <si>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ST1120</t>
  </si>
  <si>
    <t>5qa802035b_028_acps0006_R</t>
  </si>
  <si>
    <t>KJLTVR111120R01</t>
  </si>
  <si>
    <t>66-59D389105</t>
  </si>
  <si>
    <t>5QA.803.210</t>
  </si>
  <si>
    <t>5QA.803.106</t>
  </si>
  <si>
    <t>5Q0.804.132</t>
  </si>
  <si>
    <t>5qa802035b_012_mps0006_R</t>
  </si>
  <si>
    <t>5qa802035b_028_acps0007_R</t>
  </si>
  <si>
    <t>5qa802035b_002_bps0002_R</t>
  </si>
  <si>
    <t>5qa802035b_002_bps0005_R</t>
  </si>
  <si>
    <t>5qa802035b_028_acps0002_R</t>
  </si>
  <si>
    <t>66-59D389106</t>
  </si>
  <si>
    <t>5qa802035b_028_acps0004_R</t>
  </si>
  <si>
    <t>5qa802035b_028_acps0005_R</t>
  </si>
  <si>
    <t>5qa802035b_028_acps0003_R</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</si>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</sst>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4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7.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xmlns=""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xmlns=""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1120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14" name="Rechteck 28">
          <a:extLst>
            <a:ext uri="{FF2B5EF4-FFF2-40B4-BE49-F238E27FC236}">
              <a16:creationId xmlns:a16="http://schemas.microsoft.com/office/drawing/2014/main" xmlns="" id="{00000000-0008-0000-0100-00000E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15" name="Text Box 147">
          <a:extLst>
            <a:ext uri="{FF2B5EF4-FFF2-40B4-BE49-F238E27FC236}">
              <a16:creationId xmlns:a16="http://schemas.microsoft.com/office/drawing/2014/main" xmlns="" id="{00000000-0008-0000-0100-00000F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5x GEO 1120R01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6" name="Oval 96">
          <a:extLst>
            <a:ext uri="{FF2B5EF4-FFF2-40B4-BE49-F238E27FC236}">
              <a16:creationId xmlns:a16="http://schemas.microsoft.com/office/drawing/2014/main" xmlns="" id="{00000000-0008-0000-0100-000010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7" name="Textfeld 38">
          <a:extLst>
            <a:ext uri="{FF2B5EF4-FFF2-40B4-BE49-F238E27FC236}">
              <a16:creationId xmlns:a16="http://schemas.microsoft.com/office/drawing/2014/main" xmlns="" id="{00000000-0008-0000-0100-000011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389105/176</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8" name="Oval 96">
          <a:extLst>
            <a:ext uri="{FF2B5EF4-FFF2-40B4-BE49-F238E27FC236}">
              <a16:creationId xmlns:a16="http://schemas.microsoft.com/office/drawing/2014/main" xmlns="" id="{00000000-0008-0000-0100-000012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8617</xdr:colOff>
      <xdr:row>42</xdr:row>
      <xdr:rowOff>0</xdr:rowOff>
    </xdr:from>
    <xdr:to>
      <xdr:col>8</xdr:col>
      <xdr:colOff>965013</xdr:colOff>
      <xdr:row>49</xdr:row>
      <xdr:rowOff>95250</xdr:rowOff>
    </xdr:to>
    <xdr:pic>
      <xdr:nvPicPr>
        <xdr:cNvPr id="23" name="Imagem 22">
          <a:extLst>
            <a:ext uri="{FF2B5EF4-FFF2-40B4-BE49-F238E27FC236}">
              <a16:creationId xmlns:a16="http://schemas.microsoft.com/office/drawing/2014/main" xmlns="" id="{00000000-0008-0000-0100-000017000000}"/>
            </a:ext>
          </a:extLst>
        </xdr:cNvPr>
        <xdr:cNvPicPr>
          <a:picLocks noChangeAspect="1"/>
        </xdr:cNvPicPr>
      </xdr:nvPicPr>
      <xdr:blipFill>
        <a:blip xmlns:r="http://schemas.openxmlformats.org/officeDocument/2006/relationships" r:embed="rId2"/>
        <a:stretch>
          <a:fillRect/>
        </a:stretch>
      </xdr:blipFill>
      <xdr:spPr>
        <a:xfrm>
          <a:off x="929367" y="9334500"/>
          <a:ext cx="2782021" cy="1651000"/>
        </a:xfrm>
        <a:prstGeom prst="rect">
          <a:avLst/>
        </a:prstGeom>
      </xdr:spPr>
    </xdr:pic>
    <xdr:clientData/>
  </xdr:twoCellAnchor>
  <xdr:twoCellAnchor editAs="oneCell">
    <xdr:from>
      <xdr:col>10</xdr:col>
      <xdr:colOff>595992</xdr:colOff>
      <xdr:row>9</xdr:row>
      <xdr:rowOff>31750</xdr:rowOff>
    </xdr:from>
    <xdr:to>
      <xdr:col>31</xdr:col>
      <xdr:colOff>1262742</xdr:colOff>
      <xdr:row>38</xdr:row>
      <xdr:rowOff>103980</xdr:rowOff>
    </xdr:to>
    <xdr:pic>
      <xdr:nvPicPr>
        <xdr:cNvPr id="24" name="Imagem 23">
          <a:extLst>
            <a:ext uri="{FF2B5EF4-FFF2-40B4-BE49-F238E27FC236}">
              <a16:creationId xmlns:a16="http://schemas.microsoft.com/office/drawing/2014/main" xmlns="" id="{00000000-0008-0000-0100-000018000000}"/>
            </a:ext>
          </a:extLst>
        </xdr:cNvPr>
        <xdr:cNvPicPr>
          <a:picLocks noChangeAspect="1"/>
        </xdr:cNvPicPr>
      </xdr:nvPicPr>
      <xdr:blipFill>
        <a:blip xmlns:r="http://schemas.openxmlformats.org/officeDocument/2006/relationships" r:embed="rId3"/>
        <a:stretch>
          <a:fillRect/>
        </a:stretch>
      </xdr:blipFill>
      <xdr:spPr>
        <a:xfrm>
          <a:off x="4945742" y="2032000"/>
          <a:ext cx="10334625" cy="65174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2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2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2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2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6" name="Rectangle 869">
          <a:extLst>
            <a:ext uri="{FF2B5EF4-FFF2-40B4-BE49-F238E27FC236}">
              <a16:creationId xmlns:a16="http://schemas.microsoft.com/office/drawing/2014/main" xmlns="" id="{00000000-0008-0000-0200-000006000000}"/>
            </a:ext>
          </a:extLst>
        </xdr:cNvPr>
        <xdr:cNvSpPr>
          <a:spLocks noChangeArrowheads="1"/>
        </xdr:cNvSpPr>
      </xdr:nvSpPr>
      <xdr:spPr bwMode="auto">
        <a:xfrm>
          <a:off x="600075" y="190499"/>
          <a:ext cx="9872178" cy="1016000"/>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7" name="Text Box 14">
          <a:extLst>
            <a:ext uri="{FF2B5EF4-FFF2-40B4-BE49-F238E27FC236}">
              <a16:creationId xmlns:a16="http://schemas.microsoft.com/office/drawing/2014/main" xmlns="" id="{00000000-0008-0000-0200-000007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1120</a:t>
          </a:r>
          <a:endParaRPr lang="pt-BR" sz="2800">
            <a:effectLst/>
          </a:endParaRPr>
        </a:p>
      </xdr:txBody>
    </xdr:sp>
    <xdr:clientData/>
  </xdr:twoCellAnchor>
  <xdr:twoCellAnchor>
    <xdr:from>
      <xdr:col>1</xdr:col>
      <xdr:colOff>15875</xdr:colOff>
      <xdr:row>41</xdr:row>
      <xdr:rowOff>114300</xdr:rowOff>
    </xdr:from>
    <xdr:to>
      <xdr:col>9</xdr:col>
      <xdr:colOff>342900</xdr:colOff>
      <xdr:row>52</xdr:row>
      <xdr:rowOff>3465</xdr:rowOff>
    </xdr:to>
    <xdr:sp macro="" textlink="">
      <xdr:nvSpPr>
        <xdr:cNvPr id="15" name="Rechteck 28">
          <a:extLst>
            <a:ext uri="{FF2B5EF4-FFF2-40B4-BE49-F238E27FC236}">
              <a16:creationId xmlns:a16="http://schemas.microsoft.com/office/drawing/2014/main" xmlns="" id="{00000000-0008-0000-0200-00000F000000}"/>
            </a:ext>
          </a:extLst>
        </xdr:cNvPr>
        <xdr:cNvSpPr/>
      </xdr:nvSpPr>
      <xdr:spPr bwMode="auto">
        <a:xfrm>
          <a:off x="381000"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206375</xdr:rowOff>
    </xdr:from>
    <xdr:to>
      <xdr:col>24</xdr:col>
      <xdr:colOff>272468</xdr:colOff>
      <xdr:row>47</xdr:row>
      <xdr:rowOff>39972</xdr:rowOff>
    </xdr:to>
    <xdr:sp macro="" textlink="">
      <xdr:nvSpPr>
        <xdr:cNvPr id="16" name="Text Box 147">
          <a:extLst>
            <a:ext uri="{FF2B5EF4-FFF2-40B4-BE49-F238E27FC236}">
              <a16:creationId xmlns:a16="http://schemas.microsoft.com/office/drawing/2014/main" xmlns="" id="{00000000-0008-0000-0200-000010000000}"/>
            </a:ext>
          </a:extLst>
        </xdr:cNvPr>
        <xdr:cNvSpPr txBox="1">
          <a:spLocks noChangeArrowheads="1"/>
        </xdr:cNvSpPr>
      </xdr:nvSpPr>
      <xdr:spPr bwMode="auto">
        <a:xfrm>
          <a:off x="6942696"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4x GEO 1120R01</a:t>
          </a:r>
        </a:p>
      </xdr:txBody>
    </xdr:sp>
    <xdr:clientData/>
  </xdr:twoCellAnchor>
  <xdr:twoCellAnchor>
    <xdr:from>
      <xdr:col>13</xdr:col>
      <xdr:colOff>24493</xdr:colOff>
      <xdr:row>46</xdr:row>
      <xdr:rowOff>60325</xdr:rowOff>
    </xdr:from>
    <xdr:to>
      <xdr:col>13</xdr:col>
      <xdr:colOff>189594</xdr:colOff>
      <xdr:row>46</xdr:row>
      <xdr:rowOff>222004</xdr:rowOff>
    </xdr:to>
    <xdr:sp macro="" textlink="">
      <xdr:nvSpPr>
        <xdr:cNvPr id="17" name="Oval 96">
          <a:extLst>
            <a:ext uri="{FF2B5EF4-FFF2-40B4-BE49-F238E27FC236}">
              <a16:creationId xmlns:a16="http://schemas.microsoft.com/office/drawing/2014/main" xmlns="" id="{00000000-0008-0000-0200-000011000000}"/>
            </a:ext>
          </a:extLst>
        </xdr:cNvPr>
        <xdr:cNvSpPr/>
      </xdr:nvSpPr>
      <xdr:spPr>
        <a:xfrm rot="10800000" flipH="1" flipV="1">
          <a:off x="6723743"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190500</xdr:rowOff>
    </xdr:from>
    <xdr:to>
      <xdr:col>8</xdr:col>
      <xdr:colOff>1091005</xdr:colOff>
      <xdr:row>51</xdr:row>
      <xdr:rowOff>114588</xdr:rowOff>
    </xdr:to>
    <xdr:sp macro="" textlink="">
      <xdr:nvSpPr>
        <xdr:cNvPr id="18" name="Textfeld 38">
          <a:extLst>
            <a:ext uri="{FF2B5EF4-FFF2-40B4-BE49-F238E27FC236}">
              <a16:creationId xmlns:a16="http://schemas.microsoft.com/office/drawing/2014/main" xmlns="" id="{00000000-0008-0000-0200-000012000000}"/>
            </a:ext>
          </a:extLst>
        </xdr:cNvPr>
        <xdr:cNvSpPr txBox="1"/>
      </xdr:nvSpPr>
      <xdr:spPr>
        <a:xfrm>
          <a:off x="945243"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pt-BR" sz="1800" b="0" i="0" baseline="0">
              <a:solidFill>
                <a:schemeClr val="dk1"/>
              </a:solidFill>
              <a:effectLst/>
              <a:latin typeface="+mn-lt"/>
              <a:ea typeface="+mn-ea"/>
              <a:cs typeface="+mn-cs"/>
            </a:rPr>
            <a:t>     66-59D 389106/186</a:t>
          </a:r>
          <a:endParaRPr lang="pt-BR" sz="1800">
            <a:effectLst/>
          </a:endParaRPr>
        </a:p>
      </xdr:txBody>
    </xdr:sp>
    <xdr:clientData/>
  </xdr:twoCellAnchor>
  <xdr:twoCellAnchor>
    <xdr:from>
      <xdr:col>3</xdr:col>
      <xdr:colOff>135617</xdr:colOff>
      <xdr:row>50</xdr:row>
      <xdr:rowOff>63500</xdr:rowOff>
    </xdr:from>
    <xdr:to>
      <xdr:col>3</xdr:col>
      <xdr:colOff>300718</xdr:colOff>
      <xdr:row>51</xdr:row>
      <xdr:rowOff>18804</xdr:rowOff>
    </xdr:to>
    <xdr:sp macro="" textlink="">
      <xdr:nvSpPr>
        <xdr:cNvPr id="19" name="Oval 96">
          <a:extLst>
            <a:ext uri="{FF2B5EF4-FFF2-40B4-BE49-F238E27FC236}">
              <a16:creationId xmlns:a16="http://schemas.microsoft.com/office/drawing/2014/main" xmlns="" id="{00000000-0008-0000-0200-000013000000}"/>
            </a:ext>
          </a:extLst>
        </xdr:cNvPr>
        <xdr:cNvSpPr/>
      </xdr:nvSpPr>
      <xdr:spPr>
        <a:xfrm rot="10800000" flipH="1" flipV="1">
          <a:off x="1056367"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199120</xdr:colOff>
      <xdr:row>42</xdr:row>
      <xdr:rowOff>31750</xdr:rowOff>
    </xdr:from>
    <xdr:to>
      <xdr:col>8</xdr:col>
      <xdr:colOff>611871</xdr:colOff>
      <xdr:row>49</xdr:row>
      <xdr:rowOff>103450</xdr:rowOff>
    </xdr:to>
    <xdr:pic>
      <xdr:nvPicPr>
        <xdr:cNvPr id="20" name="Imagem 19">
          <a:extLst>
            <a:ext uri="{FF2B5EF4-FFF2-40B4-BE49-F238E27FC236}">
              <a16:creationId xmlns:a16="http://schemas.microsoft.com/office/drawing/2014/main" xmlns="" id="{00000000-0008-0000-0200-000014000000}"/>
            </a:ext>
          </a:extLst>
        </xdr:cNvPr>
        <xdr:cNvPicPr>
          <a:picLocks noChangeAspect="1"/>
        </xdr:cNvPicPr>
      </xdr:nvPicPr>
      <xdr:blipFill rotWithShape="1">
        <a:blip xmlns:r="http://schemas.openxmlformats.org/officeDocument/2006/relationships" r:embed="rId2"/>
        <a:srcRect l="14727" t="3389" r="3541"/>
        <a:stretch/>
      </xdr:blipFill>
      <xdr:spPr>
        <a:xfrm rot="16200000">
          <a:off x="1425333" y="9060787"/>
          <a:ext cx="1627450" cy="2238376"/>
        </a:xfrm>
        <a:prstGeom prst="rect">
          <a:avLst/>
        </a:prstGeom>
      </xdr:spPr>
    </xdr:pic>
    <xdr:clientData/>
  </xdr:twoCellAnchor>
  <xdr:twoCellAnchor editAs="oneCell">
    <xdr:from>
      <xdr:col>8</xdr:col>
      <xdr:colOff>405493</xdr:colOff>
      <xdr:row>9</xdr:row>
      <xdr:rowOff>174625</xdr:rowOff>
    </xdr:from>
    <xdr:to>
      <xdr:col>35</xdr:col>
      <xdr:colOff>8618</xdr:colOff>
      <xdr:row>36</xdr:row>
      <xdr:rowOff>34715</xdr:rowOff>
    </xdr:to>
    <xdr:pic>
      <xdr:nvPicPr>
        <xdr:cNvPr id="21" name="Imagem 20">
          <a:extLst>
            <a:ext uri="{FF2B5EF4-FFF2-40B4-BE49-F238E27FC236}">
              <a16:creationId xmlns:a16="http://schemas.microsoft.com/office/drawing/2014/main" xmlns="" id="{00000000-0008-0000-0200-000015000000}"/>
            </a:ext>
          </a:extLst>
        </xdr:cNvPr>
        <xdr:cNvPicPr>
          <a:picLocks noChangeAspect="1"/>
        </xdr:cNvPicPr>
      </xdr:nvPicPr>
      <xdr:blipFill>
        <a:blip xmlns:r="http://schemas.openxmlformats.org/officeDocument/2006/relationships" r:embed="rId3"/>
        <a:stretch>
          <a:fillRect/>
        </a:stretch>
      </xdr:blipFill>
      <xdr:spPr>
        <a:xfrm>
          <a:off x="3151868" y="2174875"/>
          <a:ext cx="14414500" cy="58608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3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3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3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3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6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6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6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6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6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6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6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6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6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6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6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6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6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6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6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6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6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6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6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6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6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6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6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6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6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7" Type="http://schemas.openxmlformats.org/officeDocument/2006/relationships/comments" Target="../comments2.xml"/><Relationship Id="rId2" Type="http://schemas.openxmlformats.org/officeDocument/2006/relationships/printerSettings" Target="../printerSettings/printerSettings4.bin"/><Relationship Id="rId1" Type="http://schemas.openxmlformats.org/officeDocument/2006/relationships/hyperlink" Target="mailto:Thomas.Noack@Volkswagen.de" TargetMode="External"/><Relationship Id="rId6" Type="http://schemas.openxmlformats.org/officeDocument/2006/relationships/image" Target="../media/image7.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9.emf"/><Relationship Id="rId4" Type="http://schemas.openxmlformats.org/officeDocument/2006/relationships/oleObject" Target="../embeddings/Documento_do_Microsoft_Word_97_-_20031.doc"/></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31" zoomScale="80" zoomScaleNormal="80" zoomScaleSheetLayoutView="85" workbookViewId="0">
      <selection activeCell="X61" sqref="X61"/>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2"/>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3"/>
      <c r="B2" s="62"/>
      <c r="C2" s="77" t="s">
        <v>26</v>
      </c>
      <c r="D2" s="77" t="s">
        <v>27</v>
      </c>
      <c r="E2" s="78"/>
      <c r="F2" s="600" t="s">
        <v>28</v>
      </c>
      <c r="G2" s="601"/>
      <c r="H2" s="602"/>
      <c r="I2" s="79" t="s">
        <v>29</v>
      </c>
      <c r="J2" s="80" t="s">
        <v>30</v>
      </c>
      <c r="K2" s="78"/>
      <c r="L2" s="81"/>
      <c r="M2" s="575" t="s">
        <v>31</v>
      </c>
      <c r="N2" s="576"/>
      <c r="O2" s="576"/>
      <c r="P2" s="576"/>
      <c r="Q2" s="576"/>
      <c r="R2" s="576"/>
      <c r="S2" s="576"/>
      <c r="T2" s="576"/>
      <c r="U2" s="576"/>
      <c r="V2" s="576"/>
      <c r="W2" s="576"/>
      <c r="X2" s="576"/>
      <c r="Y2" s="576"/>
      <c r="Z2" s="576"/>
      <c r="AA2" s="576"/>
      <c r="AB2" s="576"/>
      <c r="AC2" s="576"/>
      <c r="AD2" s="576"/>
      <c r="AE2" s="576"/>
      <c r="AF2" s="576"/>
      <c r="AG2" s="576"/>
      <c r="AH2" s="576"/>
      <c r="AI2" s="576"/>
      <c r="AJ2" s="577"/>
      <c r="AK2" s="70"/>
      <c r="AL2" s="70"/>
      <c r="AM2" s="76"/>
    </row>
    <row r="3" spans="1:39" ht="17.25" customHeight="1">
      <c r="A3" s="513"/>
      <c r="B3" s="62"/>
      <c r="C3" s="165">
        <v>0</v>
      </c>
      <c r="D3" s="164" t="s">
        <v>1925</v>
      </c>
      <c r="E3" s="92"/>
      <c r="F3" s="621">
        <v>45013</v>
      </c>
      <c r="G3" s="622"/>
      <c r="H3" s="623"/>
      <c r="I3" s="93" t="s">
        <v>1923</v>
      </c>
      <c r="J3" s="94"/>
      <c r="K3" s="95"/>
      <c r="L3" s="94"/>
      <c r="M3" s="560" t="s">
        <v>1924</v>
      </c>
      <c r="N3" s="561"/>
      <c r="O3" s="561"/>
      <c r="P3" s="561"/>
      <c r="Q3" s="561"/>
      <c r="R3" s="561"/>
      <c r="S3" s="561"/>
      <c r="T3" s="561"/>
      <c r="U3" s="561"/>
      <c r="V3" s="561"/>
      <c r="W3" s="561"/>
      <c r="X3" s="561"/>
      <c r="Y3" s="561"/>
      <c r="Z3" s="561"/>
      <c r="AA3" s="561"/>
      <c r="AB3" s="561"/>
      <c r="AC3" s="561"/>
      <c r="AD3" s="561"/>
      <c r="AE3" s="561"/>
      <c r="AF3" s="561"/>
      <c r="AG3" s="561"/>
      <c r="AH3" s="561"/>
      <c r="AI3" s="561"/>
      <c r="AJ3" s="562"/>
      <c r="AK3" s="70"/>
      <c r="AL3" s="70"/>
      <c r="AM3" s="76"/>
    </row>
    <row r="4" spans="1:39" ht="17.25" customHeight="1">
      <c r="A4" s="513"/>
      <c r="B4" s="62"/>
      <c r="C4" s="164"/>
      <c r="D4" s="164"/>
      <c r="E4" s="95"/>
      <c r="F4" s="624"/>
      <c r="G4" s="522"/>
      <c r="H4" s="523"/>
      <c r="I4" s="93"/>
      <c r="J4" s="94"/>
      <c r="K4" s="95"/>
      <c r="L4" s="94"/>
      <c r="M4" s="578"/>
      <c r="N4" s="579"/>
      <c r="O4" s="579"/>
      <c r="P4" s="579"/>
      <c r="Q4" s="579"/>
      <c r="R4" s="579"/>
      <c r="S4" s="579"/>
      <c r="T4" s="579"/>
      <c r="U4" s="579"/>
      <c r="V4" s="579"/>
      <c r="W4" s="579"/>
      <c r="X4" s="579"/>
      <c r="Y4" s="579"/>
      <c r="Z4" s="579"/>
      <c r="AA4" s="579"/>
      <c r="AB4" s="579"/>
      <c r="AC4" s="579"/>
      <c r="AD4" s="579"/>
      <c r="AE4" s="579"/>
      <c r="AF4" s="579"/>
      <c r="AG4" s="579"/>
      <c r="AH4" s="579"/>
      <c r="AI4" s="579"/>
      <c r="AJ4" s="580"/>
      <c r="AK4" s="71"/>
      <c r="AL4" s="71"/>
      <c r="AM4" s="76"/>
    </row>
    <row r="5" spans="1:39" ht="17.25" customHeight="1">
      <c r="A5" s="513"/>
      <c r="B5" s="62"/>
      <c r="C5" s="164"/>
      <c r="D5" s="96"/>
      <c r="E5" s="97"/>
      <c r="F5" s="625"/>
      <c r="G5" s="567"/>
      <c r="H5" s="568"/>
      <c r="I5" s="98"/>
      <c r="J5" s="99"/>
      <c r="K5" s="100"/>
      <c r="L5" s="101"/>
      <c r="M5" s="578"/>
      <c r="N5" s="579"/>
      <c r="O5" s="579"/>
      <c r="P5" s="579"/>
      <c r="Q5" s="579"/>
      <c r="R5" s="579"/>
      <c r="S5" s="579"/>
      <c r="T5" s="579"/>
      <c r="U5" s="579"/>
      <c r="V5" s="579"/>
      <c r="W5" s="579"/>
      <c r="X5" s="579"/>
      <c r="Y5" s="579"/>
      <c r="Z5" s="579"/>
      <c r="AA5" s="579"/>
      <c r="AB5" s="579"/>
      <c r="AC5" s="579"/>
      <c r="AD5" s="579"/>
      <c r="AE5" s="579"/>
      <c r="AF5" s="579"/>
      <c r="AG5" s="579"/>
      <c r="AH5" s="579"/>
      <c r="AI5" s="579"/>
      <c r="AJ5" s="580"/>
      <c r="AK5" s="82"/>
      <c r="AL5" s="40"/>
      <c r="AM5" s="76"/>
    </row>
    <row r="6" spans="1:39" ht="17.25" customHeight="1">
      <c r="A6" s="513"/>
      <c r="B6" s="62"/>
      <c r="C6" s="164"/>
      <c r="D6" s="91"/>
      <c r="E6" s="98"/>
      <c r="F6" s="621"/>
      <c r="G6" s="622"/>
      <c r="H6" s="623"/>
      <c r="I6" s="102"/>
      <c r="J6" s="103"/>
      <c r="K6" s="104"/>
      <c r="L6" s="102"/>
      <c r="M6" s="560"/>
      <c r="N6" s="561"/>
      <c r="O6" s="561"/>
      <c r="P6" s="561"/>
      <c r="Q6" s="561"/>
      <c r="R6" s="561"/>
      <c r="S6" s="561"/>
      <c r="T6" s="561"/>
      <c r="U6" s="561"/>
      <c r="V6" s="561"/>
      <c r="W6" s="561"/>
      <c r="X6" s="561"/>
      <c r="Y6" s="561"/>
      <c r="Z6" s="561"/>
      <c r="AA6" s="561"/>
      <c r="AB6" s="561"/>
      <c r="AC6" s="561"/>
      <c r="AD6" s="561"/>
      <c r="AE6" s="561"/>
      <c r="AF6" s="561"/>
      <c r="AG6" s="561"/>
      <c r="AH6" s="561"/>
      <c r="AI6" s="561"/>
      <c r="AJ6" s="562"/>
      <c r="AK6" s="40"/>
      <c r="AL6" s="40"/>
      <c r="AM6" s="76"/>
    </row>
    <row r="7" spans="1:39" ht="17.25" customHeight="1">
      <c r="A7" s="513"/>
      <c r="B7" s="62"/>
      <c r="C7" s="164"/>
      <c r="D7" s="105"/>
      <c r="E7" s="106"/>
      <c r="F7" s="626"/>
      <c r="G7" s="627"/>
      <c r="H7" s="628"/>
      <c r="I7" s="104"/>
      <c r="J7" s="107"/>
      <c r="K7" s="108"/>
      <c r="L7" s="109"/>
      <c r="M7" s="560"/>
      <c r="N7" s="561"/>
      <c r="O7" s="561"/>
      <c r="P7" s="561"/>
      <c r="Q7" s="561"/>
      <c r="R7" s="561"/>
      <c r="S7" s="561"/>
      <c r="T7" s="561"/>
      <c r="U7" s="561"/>
      <c r="V7" s="561"/>
      <c r="W7" s="561"/>
      <c r="X7" s="561"/>
      <c r="Y7" s="561"/>
      <c r="Z7" s="561"/>
      <c r="AA7" s="561"/>
      <c r="AB7" s="561"/>
      <c r="AC7" s="561"/>
      <c r="AD7" s="561"/>
      <c r="AE7" s="561"/>
      <c r="AF7" s="561"/>
      <c r="AG7" s="561"/>
      <c r="AH7" s="561"/>
      <c r="AI7" s="561"/>
      <c r="AJ7" s="562"/>
      <c r="AK7" s="40"/>
      <c r="AL7" s="40"/>
      <c r="AM7" s="76"/>
    </row>
    <row r="8" spans="1:39" ht="17.25" customHeight="1">
      <c r="A8" s="513"/>
      <c r="B8" s="62"/>
      <c r="C8" s="164"/>
      <c r="D8" s="105"/>
      <c r="E8" s="106"/>
      <c r="F8" s="626"/>
      <c r="G8" s="627"/>
      <c r="H8" s="628"/>
      <c r="I8" s="104"/>
      <c r="J8" s="107"/>
      <c r="K8" s="108"/>
      <c r="L8" s="109"/>
      <c r="M8" s="560"/>
      <c r="N8" s="561"/>
      <c r="O8" s="561"/>
      <c r="P8" s="561"/>
      <c r="Q8" s="561"/>
      <c r="R8" s="561"/>
      <c r="S8" s="561"/>
      <c r="T8" s="561"/>
      <c r="U8" s="561"/>
      <c r="V8" s="561"/>
      <c r="W8" s="561"/>
      <c r="X8" s="561"/>
      <c r="Y8" s="561"/>
      <c r="Z8" s="561"/>
      <c r="AA8" s="561"/>
      <c r="AB8" s="561"/>
      <c r="AC8" s="561"/>
      <c r="AD8" s="561"/>
      <c r="AE8" s="561"/>
      <c r="AF8" s="561"/>
      <c r="AG8" s="561"/>
      <c r="AH8" s="561"/>
      <c r="AI8" s="561"/>
      <c r="AJ8" s="562"/>
      <c r="AK8" s="40"/>
      <c r="AL8" s="40"/>
      <c r="AM8" s="76"/>
    </row>
    <row r="9" spans="1:39" ht="17.25" customHeight="1">
      <c r="A9" s="513"/>
      <c r="B9" s="62"/>
      <c r="C9" s="164"/>
      <c r="D9" s="110"/>
      <c r="E9" s="111"/>
      <c r="F9" s="617"/>
      <c r="G9" s="629"/>
      <c r="H9" s="629"/>
      <c r="I9" s="112"/>
      <c r="J9" s="99"/>
      <c r="K9" s="101"/>
      <c r="L9" s="101"/>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40"/>
      <c r="AL9" s="40"/>
      <c r="AM9" s="76"/>
    </row>
    <row r="10" spans="1:39" ht="17.25" customHeight="1">
      <c r="A10" s="513"/>
      <c r="B10" s="62"/>
      <c r="C10" s="164"/>
      <c r="D10" s="110"/>
      <c r="E10" s="111"/>
      <c r="F10" s="617"/>
      <c r="G10" s="629"/>
      <c r="H10" s="629"/>
      <c r="I10" s="113"/>
      <c r="J10" s="99"/>
      <c r="K10" s="101"/>
      <c r="L10" s="101"/>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40"/>
      <c r="AL10" s="40"/>
      <c r="AM10" s="76"/>
    </row>
    <row r="11" spans="1:39" ht="17.25" customHeight="1">
      <c r="A11" s="513"/>
      <c r="B11" s="62"/>
      <c r="C11" s="164"/>
      <c r="D11" s="110"/>
      <c r="E11" s="111"/>
      <c r="F11" s="617"/>
      <c r="G11" s="617"/>
      <c r="H11" s="617"/>
      <c r="I11" s="113"/>
      <c r="J11" s="99"/>
      <c r="K11" s="101"/>
      <c r="L11" s="101"/>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40"/>
      <c r="AL11" s="40"/>
      <c r="AM11" s="76"/>
    </row>
    <row r="12" spans="1:39" ht="17.25" customHeight="1">
      <c r="A12" s="513"/>
      <c r="B12" s="62"/>
      <c r="C12" s="164"/>
      <c r="D12" s="114"/>
      <c r="E12" s="115"/>
      <c r="F12" s="633"/>
      <c r="G12" s="570"/>
      <c r="H12" s="571"/>
      <c r="I12" s="116"/>
      <c r="J12" s="117"/>
      <c r="K12" s="118"/>
      <c r="L12" s="119"/>
      <c r="M12" s="586"/>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8"/>
      <c r="AK12" s="40"/>
      <c r="AL12" s="40"/>
      <c r="AM12" s="76"/>
    </row>
    <row r="13" spans="1:39" ht="17.25" customHeight="1">
      <c r="A13" s="513"/>
      <c r="B13" s="62"/>
      <c r="C13" s="164"/>
      <c r="D13" s="120"/>
      <c r="E13" s="97"/>
      <c r="F13" s="594"/>
      <c r="G13" s="595"/>
      <c r="H13" s="596"/>
      <c r="I13" s="121"/>
      <c r="J13" s="99"/>
      <c r="K13" s="100"/>
      <c r="L13" s="101"/>
      <c r="M13" s="560"/>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2"/>
      <c r="AK13" s="40"/>
      <c r="AL13" s="40"/>
      <c r="AM13" s="76"/>
    </row>
    <row r="14" spans="1:39" ht="17.25" customHeight="1">
      <c r="A14" s="513"/>
      <c r="B14" s="62"/>
      <c r="C14" s="164"/>
      <c r="D14" s="120"/>
      <c r="E14" s="97"/>
      <c r="F14" s="566"/>
      <c r="G14" s="567"/>
      <c r="H14" s="568"/>
      <c r="I14" s="121"/>
      <c r="J14" s="99"/>
      <c r="K14" s="100"/>
      <c r="L14" s="101"/>
      <c r="M14" s="578"/>
      <c r="N14" s="579"/>
      <c r="O14" s="579"/>
      <c r="P14" s="579"/>
      <c r="Q14" s="579"/>
      <c r="R14" s="579"/>
      <c r="S14" s="579"/>
      <c r="T14" s="579"/>
      <c r="U14" s="579"/>
      <c r="V14" s="579"/>
      <c r="W14" s="579"/>
      <c r="X14" s="579"/>
      <c r="Y14" s="579"/>
      <c r="Z14" s="579"/>
      <c r="AA14" s="579"/>
      <c r="AB14" s="579"/>
      <c r="AC14" s="579"/>
      <c r="AD14" s="579"/>
      <c r="AE14" s="579"/>
      <c r="AF14" s="579"/>
      <c r="AG14" s="579"/>
      <c r="AH14" s="579"/>
      <c r="AI14" s="579"/>
      <c r="AJ14" s="580"/>
      <c r="AK14" s="40"/>
      <c r="AL14" s="40"/>
      <c r="AM14" s="76"/>
    </row>
    <row r="15" spans="1:39" ht="17.25" customHeight="1">
      <c r="A15" s="513"/>
      <c r="B15" s="62"/>
      <c r="C15" s="164"/>
      <c r="D15" s="122"/>
      <c r="E15" s="123"/>
      <c r="F15" s="569"/>
      <c r="G15" s="570"/>
      <c r="H15" s="571"/>
      <c r="I15" s="116"/>
      <c r="J15" s="124"/>
      <c r="K15" s="125"/>
      <c r="L15" s="126"/>
      <c r="M15" s="597"/>
      <c r="N15" s="598"/>
      <c r="O15" s="598"/>
      <c r="P15" s="598"/>
      <c r="Q15" s="598"/>
      <c r="R15" s="598"/>
      <c r="S15" s="598"/>
      <c r="T15" s="598"/>
      <c r="U15" s="598"/>
      <c r="V15" s="598"/>
      <c r="W15" s="598"/>
      <c r="X15" s="598"/>
      <c r="Y15" s="598"/>
      <c r="Z15" s="598"/>
      <c r="AA15" s="598"/>
      <c r="AB15" s="598"/>
      <c r="AC15" s="598"/>
      <c r="AD15" s="598"/>
      <c r="AE15" s="598"/>
      <c r="AF15" s="598"/>
      <c r="AG15" s="598"/>
      <c r="AH15" s="598"/>
      <c r="AI15" s="598"/>
      <c r="AJ15" s="599"/>
      <c r="AK15" s="40"/>
      <c r="AL15" s="40"/>
      <c r="AM15" s="76"/>
    </row>
    <row r="16" spans="1:39" ht="17.25" customHeight="1">
      <c r="A16" s="513"/>
      <c r="B16" s="62"/>
      <c r="C16" s="164"/>
      <c r="D16" s="114"/>
      <c r="E16" s="115"/>
      <c r="F16" s="569"/>
      <c r="G16" s="570"/>
      <c r="H16" s="571"/>
      <c r="I16" s="121"/>
      <c r="J16" s="117"/>
      <c r="K16" s="118"/>
      <c r="L16" s="119"/>
      <c r="M16" s="578"/>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90"/>
      <c r="AK16" s="40"/>
      <c r="AL16" s="40"/>
      <c r="AM16" s="76"/>
    </row>
    <row r="17" spans="1:39" ht="17.25" customHeight="1">
      <c r="A17" s="513"/>
      <c r="B17" s="62"/>
      <c r="C17" s="164"/>
      <c r="D17" s="120"/>
      <c r="E17" s="97"/>
      <c r="F17" s="594"/>
      <c r="G17" s="595"/>
      <c r="H17" s="596"/>
      <c r="I17" s="121"/>
      <c r="J17" s="99"/>
      <c r="K17" s="100"/>
      <c r="L17" s="101"/>
      <c r="M17" s="591"/>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3"/>
      <c r="AK17" s="40"/>
      <c r="AL17" s="40"/>
      <c r="AM17" s="76"/>
    </row>
    <row r="18" spans="1:39" ht="17.25" customHeight="1">
      <c r="A18" s="513"/>
      <c r="B18" s="62"/>
      <c r="C18" s="164"/>
      <c r="D18" s="114"/>
      <c r="E18" s="115"/>
      <c r="F18" s="566"/>
      <c r="G18" s="567"/>
      <c r="H18" s="568"/>
      <c r="I18" s="116"/>
      <c r="J18" s="117"/>
      <c r="K18" s="118"/>
      <c r="L18" s="119"/>
      <c r="M18" s="591"/>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3"/>
      <c r="AK18" s="40"/>
      <c r="AL18" s="40"/>
      <c r="AM18" s="76"/>
    </row>
    <row r="19" spans="1:39" ht="17.25" customHeight="1">
      <c r="A19" s="513"/>
      <c r="B19" s="62"/>
      <c r="C19" s="164"/>
      <c r="D19" s="120"/>
      <c r="E19" s="97"/>
      <c r="F19" s="594"/>
      <c r="G19" s="595"/>
      <c r="H19" s="596"/>
      <c r="I19" s="121"/>
      <c r="J19" s="99"/>
      <c r="K19" s="100"/>
      <c r="L19" s="101"/>
      <c r="M19" s="591"/>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3"/>
      <c r="AK19" s="40"/>
      <c r="AL19" s="40"/>
      <c r="AM19" s="76"/>
    </row>
    <row r="20" spans="1:39" ht="17.25" customHeight="1">
      <c r="A20" s="513"/>
      <c r="B20" s="62"/>
      <c r="C20" s="164"/>
      <c r="D20" s="127"/>
      <c r="E20" s="128"/>
      <c r="F20" s="566"/>
      <c r="G20" s="567"/>
      <c r="H20" s="568"/>
      <c r="I20" s="116"/>
      <c r="J20" s="129"/>
      <c r="K20" s="130"/>
      <c r="L20" s="129"/>
      <c r="M20" s="572"/>
      <c r="N20" s="573"/>
      <c r="O20" s="573"/>
      <c r="P20" s="573"/>
      <c r="Q20" s="573"/>
      <c r="R20" s="573"/>
      <c r="S20" s="573"/>
      <c r="T20" s="573"/>
      <c r="U20" s="573"/>
      <c r="V20" s="573"/>
      <c r="W20" s="573"/>
      <c r="X20" s="573"/>
      <c r="Y20" s="573"/>
      <c r="Z20" s="573"/>
      <c r="AA20" s="573"/>
      <c r="AB20" s="573"/>
      <c r="AC20" s="573"/>
      <c r="AD20" s="573"/>
      <c r="AE20" s="573"/>
      <c r="AF20" s="573"/>
      <c r="AG20" s="573"/>
      <c r="AH20" s="573"/>
      <c r="AI20" s="573"/>
      <c r="AJ20" s="574"/>
      <c r="AK20" s="40"/>
      <c r="AL20" s="40"/>
      <c r="AM20" s="76"/>
    </row>
    <row r="21" spans="1:39" ht="17.25" customHeight="1">
      <c r="A21" s="513"/>
      <c r="B21" s="62"/>
      <c r="C21" s="164"/>
      <c r="D21" s="131"/>
      <c r="E21" s="132"/>
      <c r="F21" s="630"/>
      <c r="G21" s="631"/>
      <c r="H21" s="632"/>
      <c r="I21" s="133"/>
      <c r="J21" s="134"/>
      <c r="K21" s="135"/>
      <c r="L21" s="134"/>
      <c r="M21" s="518"/>
      <c r="N21" s="519"/>
      <c r="O21" s="519"/>
      <c r="P21" s="519"/>
      <c r="Q21" s="519"/>
      <c r="R21" s="519"/>
      <c r="S21" s="519"/>
      <c r="T21" s="519"/>
      <c r="U21" s="519"/>
      <c r="V21" s="519"/>
      <c r="W21" s="519"/>
      <c r="X21" s="519"/>
      <c r="Y21" s="519"/>
      <c r="Z21" s="519"/>
      <c r="AA21" s="519"/>
      <c r="AB21" s="519"/>
      <c r="AC21" s="519"/>
      <c r="AD21" s="519"/>
      <c r="AE21" s="519"/>
      <c r="AF21" s="519"/>
      <c r="AG21" s="519"/>
      <c r="AH21" s="519"/>
      <c r="AI21" s="519"/>
      <c r="AJ21" s="520"/>
      <c r="AK21" s="40"/>
      <c r="AL21" s="40"/>
      <c r="AM21" s="76"/>
    </row>
    <row r="22" spans="1:39" ht="17.25" customHeight="1">
      <c r="A22" s="513"/>
      <c r="B22" s="62"/>
      <c r="C22" s="164"/>
      <c r="D22" s="136"/>
      <c r="E22" s="137"/>
      <c r="F22" s="533"/>
      <c r="G22" s="534"/>
      <c r="H22" s="535"/>
      <c r="I22" s="138"/>
      <c r="J22" s="139"/>
      <c r="K22" s="140"/>
      <c r="L22" s="141"/>
      <c r="M22" s="518"/>
      <c r="N22" s="519"/>
      <c r="O22" s="519"/>
      <c r="P22" s="519"/>
      <c r="Q22" s="519"/>
      <c r="R22" s="519"/>
      <c r="S22" s="519"/>
      <c r="T22" s="519"/>
      <c r="U22" s="519"/>
      <c r="V22" s="519"/>
      <c r="W22" s="519"/>
      <c r="X22" s="519"/>
      <c r="Y22" s="519"/>
      <c r="Z22" s="519"/>
      <c r="AA22" s="519"/>
      <c r="AB22" s="519"/>
      <c r="AC22" s="519"/>
      <c r="AD22" s="519"/>
      <c r="AE22" s="519"/>
      <c r="AF22" s="519"/>
      <c r="AG22" s="519"/>
      <c r="AH22" s="519"/>
      <c r="AI22" s="519"/>
      <c r="AJ22" s="520"/>
      <c r="AK22" s="40"/>
      <c r="AL22" s="40"/>
      <c r="AM22" s="76"/>
    </row>
    <row r="23" spans="1:39" ht="17.25" customHeight="1">
      <c r="A23" s="513"/>
      <c r="B23" s="62"/>
      <c r="C23" s="164"/>
      <c r="D23" s="131"/>
      <c r="E23" s="132"/>
      <c r="F23" s="557"/>
      <c r="G23" s="558"/>
      <c r="H23" s="559"/>
      <c r="I23" s="142"/>
      <c r="J23" s="134"/>
      <c r="K23" s="135"/>
      <c r="L23" s="134"/>
      <c r="M23" s="518"/>
      <c r="N23" s="519"/>
      <c r="O23" s="519"/>
      <c r="P23" s="519"/>
      <c r="Q23" s="519"/>
      <c r="R23" s="519"/>
      <c r="S23" s="519"/>
      <c r="T23" s="519"/>
      <c r="U23" s="519"/>
      <c r="V23" s="519"/>
      <c r="W23" s="519"/>
      <c r="X23" s="519"/>
      <c r="Y23" s="519"/>
      <c r="Z23" s="519"/>
      <c r="AA23" s="519"/>
      <c r="AB23" s="519"/>
      <c r="AC23" s="519"/>
      <c r="AD23" s="519"/>
      <c r="AE23" s="519"/>
      <c r="AF23" s="519"/>
      <c r="AG23" s="519"/>
      <c r="AH23" s="519"/>
      <c r="AI23" s="519"/>
      <c r="AJ23" s="520"/>
      <c r="AK23" s="40"/>
      <c r="AL23" s="40"/>
      <c r="AM23" s="76"/>
    </row>
    <row r="24" spans="1:39" ht="17.25" customHeight="1">
      <c r="A24" s="513"/>
      <c r="B24" s="62"/>
      <c r="C24" s="164"/>
      <c r="D24" s="136"/>
      <c r="E24" s="137"/>
      <c r="F24" s="533"/>
      <c r="G24" s="534"/>
      <c r="H24" s="535"/>
      <c r="I24" s="143"/>
      <c r="J24" s="141"/>
      <c r="K24" s="140"/>
      <c r="L24" s="141"/>
      <c r="M24" s="518"/>
      <c r="N24" s="519"/>
      <c r="O24" s="519"/>
      <c r="P24" s="519"/>
      <c r="Q24" s="519"/>
      <c r="R24" s="519"/>
      <c r="S24" s="519"/>
      <c r="T24" s="519"/>
      <c r="U24" s="519"/>
      <c r="V24" s="519"/>
      <c r="W24" s="519"/>
      <c r="X24" s="519"/>
      <c r="Y24" s="519"/>
      <c r="Z24" s="519"/>
      <c r="AA24" s="519"/>
      <c r="AB24" s="519"/>
      <c r="AC24" s="519"/>
      <c r="AD24" s="519"/>
      <c r="AE24" s="519"/>
      <c r="AF24" s="519"/>
      <c r="AG24" s="519"/>
      <c r="AH24" s="519"/>
      <c r="AI24" s="519"/>
      <c r="AJ24" s="520"/>
      <c r="AK24" s="40"/>
      <c r="AL24" s="40"/>
      <c r="AM24" s="76"/>
    </row>
    <row r="25" spans="1:39" ht="17.25" customHeight="1">
      <c r="A25" s="513"/>
      <c r="B25" s="62"/>
      <c r="C25" s="164"/>
      <c r="D25" s="131"/>
      <c r="E25" s="132"/>
      <c r="F25" s="557"/>
      <c r="G25" s="558"/>
      <c r="H25" s="559"/>
      <c r="I25" s="142"/>
      <c r="J25" s="134"/>
      <c r="K25" s="135"/>
      <c r="L25" s="134"/>
      <c r="M25" s="518"/>
      <c r="N25" s="519"/>
      <c r="O25" s="519"/>
      <c r="P25" s="519"/>
      <c r="Q25" s="519"/>
      <c r="R25" s="519"/>
      <c r="S25" s="519"/>
      <c r="T25" s="519"/>
      <c r="U25" s="519"/>
      <c r="V25" s="519"/>
      <c r="W25" s="519"/>
      <c r="X25" s="519"/>
      <c r="Y25" s="519"/>
      <c r="Z25" s="519"/>
      <c r="AA25" s="519"/>
      <c r="AB25" s="519"/>
      <c r="AC25" s="519"/>
      <c r="AD25" s="519"/>
      <c r="AE25" s="519"/>
      <c r="AF25" s="519"/>
      <c r="AG25" s="519"/>
      <c r="AH25" s="519"/>
      <c r="AI25" s="519"/>
      <c r="AJ25" s="520"/>
      <c r="AK25" s="40"/>
      <c r="AL25" s="40"/>
      <c r="AM25" s="76"/>
    </row>
    <row r="26" spans="1:39" ht="17.25" customHeight="1">
      <c r="A26" s="513"/>
      <c r="B26" s="62"/>
      <c r="C26" s="164"/>
      <c r="D26" s="136"/>
      <c r="E26" s="137"/>
      <c r="F26" s="533"/>
      <c r="G26" s="534"/>
      <c r="H26" s="535"/>
      <c r="I26" s="143"/>
      <c r="J26" s="139"/>
      <c r="K26" s="140"/>
      <c r="L26" s="141"/>
      <c r="M26" s="518"/>
      <c r="N26" s="519"/>
      <c r="O26" s="519"/>
      <c r="P26" s="519"/>
      <c r="Q26" s="519"/>
      <c r="R26" s="519"/>
      <c r="S26" s="519"/>
      <c r="T26" s="519"/>
      <c r="U26" s="519"/>
      <c r="V26" s="519"/>
      <c r="W26" s="519"/>
      <c r="X26" s="519"/>
      <c r="Y26" s="519"/>
      <c r="Z26" s="519"/>
      <c r="AA26" s="519"/>
      <c r="AB26" s="519"/>
      <c r="AC26" s="519"/>
      <c r="AD26" s="519"/>
      <c r="AE26" s="519"/>
      <c r="AF26" s="519"/>
      <c r="AG26" s="519"/>
      <c r="AH26" s="519"/>
      <c r="AI26" s="519"/>
      <c r="AJ26" s="520"/>
      <c r="AK26" s="40"/>
      <c r="AL26" s="40"/>
      <c r="AM26" s="76"/>
    </row>
    <row r="27" spans="1:39" ht="17.25" customHeight="1">
      <c r="A27" s="513"/>
      <c r="B27" s="62"/>
      <c r="C27" s="164"/>
      <c r="D27" s="131"/>
      <c r="E27" s="132"/>
      <c r="F27" s="557"/>
      <c r="G27" s="558"/>
      <c r="H27" s="559"/>
      <c r="I27" s="142"/>
      <c r="J27" s="134"/>
      <c r="K27" s="135"/>
      <c r="L27" s="134"/>
      <c r="M27" s="518"/>
      <c r="N27" s="519"/>
      <c r="O27" s="519"/>
      <c r="P27" s="519"/>
      <c r="Q27" s="519"/>
      <c r="R27" s="519"/>
      <c r="S27" s="519"/>
      <c r="T27" s="519"/>
      <c r="U27" s="519"/>
      <c r="V27" s="519"/>
      <c r="W27" s="519"/>
      <c r="X27" s="519"/>
      <c r="Y27" s="519"/>
      <c r="Z27" s="519"/>
      <c r="AA27" s="519"/>
      <c r="AB27" s="519"/>
      <c r="AC27" s="519"/>
      <c r="AD27" s="519"/>
      <c r="AE27" s="519"/>
      <c r="AF27" s="519"/>
      <c r="AG27" s="519"/>
      <c r="AH27" s="519"/>
      <c r="AI27" s="519"/>
      <c r="AJ27" s="520"/>
      <c r="AK27" s="40"/>
      <c r="AL27" s="40"/>
      <c r="AM27" s="76"/>
    </row>
    <row r="28" spans="1:39" ht="17.25" customHeight="1">
      <c r="A28" s="513"/>
      <c r="B28" s="62"/>
      <c r="C28" s="164"/>
      <c r="D28" s="136"/>
      <c r="E28" s="137"/>
      <c r="F28" s="533"/>
      <c r="G28" s="534"/>
      <c r="H28" s="535"/>
      <c r="I28" s="143"/>
      <c r="J28" s="141"/>
      <c r="K28" s="140"/>
      <c r="L28" s="141"/>
      <c r="M28" s="518"/>
      <c r="N28" s="519"/>
      <c r="O28" s="519"/>
      <c r="P28" s="519"/>
      <c r="Q28" s="519"/>
      <c r="R28" s="519"/>
      <c r="S28" s="519"/>
      <c r="T28" s="519"/>
      <c r="U28" s="519"/>
      <c r="V28" s="519"/>
      <c r="W28" s="519"/>
      <c r="X28" s="519"/>
      <c r="Y28" s="519"/>
      <c r="Z28" s="519"/>
      <c r="AA28" s="519"/>
      <c r="AB28" s="519"/>
      <c r="AC28" s="519"/>
      <c r="AD28" s="519"/>
      <c r="AE28" s="519"/>
      <c r="AF28" s="519"/>
      <c r="AG28" s="519"/>
      <c r="AH28" s="519"/>
      <c r="AI28" s="519"/>
      <c r="AJ28" s="520"/>
      <c r="AK28" s="40"/>
      <c r="AL28" s="40"/>
      <c r="AM28" s="76"/>
    </row>
    <row r="29" spans="1:39" ht="17.25" customHeight="1">
      <c r="A29" s="513"/>
      <c r="B29" s="62"/>
      <c r="C29" s="164"/>
      <c r="D29" s="131"/>
      <c r="E29" s="132"/>
      <c r="F29" s="557"/>
      <c r="G29" s="558"/>
      <c r="H29" s="559"/>
      <c r="I29" s="142"/>
      <c r="J29" s="144"/>
      <c r="K29" s="135"/>
      <c r="L29" s="144"/>
      <c r="M29" s="518"/>
      <c r="N29" s="519"/>
      <c r="O29" s="519"/>
      <c r="P29" s="519"/>
      <c r="Q29" s="519"/>
      <c r="R29" s="519"/>
      <c r="S29" s="519"/>
      <c r="T29" s="519"/>
      <c r="U29" s="519"/>
      <c r="V29" s="519"/>
      <c r="W29" s="519"/>
      <c r="X29" s="519"/>
      <c r="Y29" s="519"/>
      <c r="Z29" s="519"/>
      <c r="AA29" s="519"/>
      <c r="AB29" s="519"/>
      <c r="AC29" s="519"/>
      <c r="AD29" s="519"/>
      <c r="AE29" s="519"/>
      <c r="AF29" s="519"/>
      <c r="AG29" s="519"/>
      <c r="AH29" s="519"/>
      <c r="AI29" s="519"/>
      <c r="AJ29" s="520"/>
      <c r="AK29" s="40"/>
      <c r="AL29" s="40"/>
      <c r="AM29" s="76"/>
    </row>
    <row r="30" spans="1:39" ht="17.25" customHeight="1">
      <c r="A30" s="514"/>
      <c r="B30" s="62"/>
      <c r="C30" s="164"/>
      <c r="D30" s="136"/>
      <c r="E30" s="137"/>
      <c r="F30" s="533"/>
      <c r="G30" s="534"/>
      <c r="H30" s="535"/>
      <c r="I30" s="143"/>
      <c r="J30" s="145"/>
      <c r="K30" s="140"/>
      <c r="L30" s="145"/>
      <c r="M30" s="521"/>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3"/>
      <c r="AK30" s="40"/>
      <c r="AL30" s="40"/>
      <c r="AM30" s="76"/>
    </row>
    <row r="31" spans="1:39" ht="17.25" customHeight="1">
      <c r="A31" s="618"/>
      <c r="B31" s="62"/>
      <c r="C31" s="164"/>
      <c r="D31" s="146"/>
      <c r="E31" s="132"/>
      <c r="F31" s="536"/>
      <c r="G31" s="537"/>
      <c r="H31" s="538"/>
      <c r="I31" s="132"/>
      <c r="J31" s="147"/>
      <c r="K31" s="148"/>
      <c r="L31" s="147"/>
      <c r="M31" s="515"/>
      <c r="N31" s="516"/>
      <c r="O31" s="516"/>
      <c r="P31" s="516"/>
      <c r="Q31" s="516"/>
      <c r="R31" s="516"/>
      <c r="S31" s="516"/>
      <c r="T31" s="516"/>
      <c r="U31" s="516"/>
      <c r="V31" s="516"/>
      <c r="W31" s="516"/>
      <c r="X31" s="516"/>
      <c r="Y31" s="516"/>
      <c r="Z31" s="516"/>
      <c r="AA31" s="516"/>
      <c r="AB31" s="516"/>
      <c r="AC31" s="516"/>
      <c r="AD31" s="516"/>
      <c r="AE31" s="516"/>
      <c r="AF31" s="516"/>
      <c r="AG31" s="516"/>
      <c r="AH31" s="516"/>
      <c r="AI31" s="516"/>
      <c r="AJ31" s="517"/>
      <c r="AK31" s="40"/>
      <c r="AL31" s="40"/>
      <c r="AM31" s="76"/>
    </row>
    <row r="32" spans="1:39" ht="17.25" customHeight="1">
      <c r="A32" s="619"/>
      <c r="B32" s="62"/>
      <c r="C32" s="164"/>
      <c r="D32" s="149"/>
      <c r="E32" s="137"/>
      <c r="F32" s="515"/>
      <c r="G32" s="516"/>
      <c r="H32" s="517"/>
      <c r="I32" s="137"/>
      <c r="J32" s="150"/>
      <c r="K32" s="143"/>
      <c r="L32" s="150"/>
      <c r="M32" s="515"/>
      <c r="N32" s="516"/>
      <c r="O32" s="516"/>
      <c r="P32" s="516"/>
      <c r="Q32" s="516"/>
      <c r="R32" s="516"/>
      <c r="S32" s="516"/>
      <c r="T32" s="516"/>
      <c r="U32" s="516"/>
      <c r="V32" s="516"/>
      <c r="W32" s="516"/>
      <c r="X32" s="516"/>
      <c r="Y32" s="516"/>
      <c r="Z32" s="516"/>
      <c r="AA32" s="516"/>
      <c r="AB32" s="516"/>
      <c r="AC32" s="516"/>
      <c r="AD32" s="516"/>
      <c r="AE32" s="516"/>
      <c r="AF32" s="516"/>
      <c r="AG32" s="516"/>
      <c r="AH32" s="516"/>
      <c r="AI32" s="516"/>
      <c r="AJ32" s="517"/>
      <c r="AK32" s="40"/>
      <c r="AL32" s="40"/>
      <c r="AM32" s="76"/>
    </row>
    <row r="33" spans="1:39" ht="17.25" customHeight="1">
      <c r="A33" s="619"/>
      <c r="B33" s="62"/>
      <c r="C33" s="164"/>
      <c r="D33" s="131"/>
      <c r="E33" s="132"/>
      <c r="F33" s="557"/>
      <c r="G33" s="558"/>
      <c r="H33" s="559"/>
      <c r="I33" s="142"/>
      <c r="J33" s="144"/>
      <c r="K33" s="151"/>
      <c r="L33" s="144"/>
      <c r="M33" s="518"/>
      <c r="N33" s="519"/>
      <c r="O33" s="519"/>
      <c r="P33" s="519"/>
      <c r="Q33" s="519"/>
      <c r="R33" s="519"/>
      <c r="S33" s="519"/>
      <c r="T33" s="519"/>
      <c r="U33" s="519"/>
      <c r="V33" s="519"/>
      <c r="W33" s="519"/>
      <c r="X33" s="519"/>
      <c r="Y33" s="519"/>
      <c r="Z33" s="519"/>
      <c r="AA33" s="519"/>
      <c r="AB33" s="519"/>
      <c r="AC33" s="519"/>
      <c r="AD33" s="519"/>
      <c r="AE33" s="519"/>
      <c r="AF33" s="519"/>
      <c r="AG33" s="519"/>
      <c r="AH33" s="519"/>
      <c r="AI33" s="519"/>
      <c r="AJ33" s="520"/>
      <c r="AK33" s="40"/>
      <c r="AL33" s="40"/>
      <c r="AM33" s="76"/>
    </row>
    <row r="34" spans="1:39" ht="17.25" customHeight="1">
      <c r="A34" s="619"/>
      <c r="B34" s="62"/>
      <c r="C34" s="164"/>
      <c r="D34" s="136"/>
      <c r="E34" s="137"/>
      <c r="F34" s="533"/>
      <c r="G34" s="534"/>
      <c r="H34" s="535"/>
      <c r="I34" s="143"/>
      <c r="J34" s="145"/>
      <c r="K34" s="152"/>
      <c r="L34" s="145"/>
      <c r="M34" s="521"/>
      <c r="N34" s="522"/>
      <c r="O34" s="522"/>
      <c r="P34" s="522"/>
      <c r="Q34" s="522"/>
      <c r="R34" s="522"/>
      <c r="S34" s="522"/>
      <c r="T34" s="522"/>
      <c r="U34" s="522"/>
      <c r="V34" s="522"/>
      <c r="W34" s="522"/>
      <c r="X34" s="522"/>
      <c r="Y34" s="522"/>
      <c r="Z34" s="522"/>
      <c r="AA34" s="522"/>
      <c r="AB34" s="522"/>
      <c r="AC34" s="522"/>
      <c r="AD34" s="522"/>
      <c r="AE34" s="522"/>
      <c r="AF34" s="522"/>
      <c r="AG34" s="522"/>
      <c r="AH34" s="522"/>
      <c r="AI34" s="522"/>
      <c r="AJ34" s="523"/>
      <c r="AK34" s="40"/>
      <c r="AL34" s="40"/>
      <c r="AM34" s="76"/>
    </row>
    <row r="35" spans="1:39" ht="17.25" customHeight="1">
      <c r="A35" s="619"/>
      <c r="B35" s="62"/>
      <c r="C35" s="164"/>
      <c r="D35" s="146"/>
      <c r="E35" s="132"/>
      <c r="F35" s="536"/>
      <c r="G35" s="537"/>
      <c r="H35" s="538"/>
      <c r="I35" s="132"/>
      <c r="J35" s="153"/>
      <c r="K35" s="132"/>
      <c r="L35" s="154"/>
      <c r="M35" s="515"/>
      <c r="N35" s="516"/>
      <c r="O35" s="516"/>
      <c r="P35" s="516"/>
      <c r="Q35" s="516"/>
      <c r="R35" s="516"/>
      <c r="S35" s="516"/>
      <c r="T35" s="516"/>
      <c r="U35" s="516"/>
      <c r="V35" s="516"/>
      <c r="W35" s="516"/>
      <c r="X35" s="516"/>
      <c r="Y35" s="516"/>
      <c r="Z35" s="516"/>
      <c r="AA35" s="516"/>
      <c r="AB35" s="516"/>
      <c r="AC35" s="516"/>
      <c r="AD35" s="516"/>
      <c r="AE35" s="516"/>
      <c r="AF35" s="516"/>
      <c r="AG35" s="516"/>
      <c r="AH35" s="516"/>
      <c r="AI35" s="516"/>
      <c r="AJ35" s="517"/>
      <c r="AK35" s="40"/>
      <c r="AL35" s="40"/>
      <c r="AM35" s="76"/>
    </row>
    <row r="36" spans="1:39" ht="17.25" customHeight="1">
      <c r="A36" s="619"/>
      <c r="B36" s="62"/>
      <c r="C36" s="164"/>
      <c r="D36" s="155"/>
      <c r="E36" s="137"/>
      <c r="F36" s="527"/>
      <c r="G36" s="528"/>
      <c r="H36" s="529"/>
      <c r="I36" s="156"/>
      <c r="J36" s="157"/>
      <c r="K36" s="137"/>
      <c r="L36" s="157"/>
      <c r="M36" s="515"/>
      <c r="N36" s="516"/>
      <c r="O36" s="516"/>
      <c r="P36" s="516"/>
      <c r="Q36" s="516"/>
      <c r="R36" s="516"/>
      <c r="S36" s="516"/>
      <c r="T36" s="516"/>
      <c r="U36" s="516"/>
      <c r="V36" s="516"/>
      <c r="W36" s="516"/>
      <c r="X36" s="516"/>
      <c r="Y36" s="516"/>
      <c r="Z36" s="516"/>
      <c r="AA36" s="516"/>
      <c r="AB36" s="516"/>
      <c r="AC36" s="516"/>
      <c r="AD36" s="516"/>
      <c r="AE36" s="516"/>
      <c r="AF36" s="516"/>
      <c r="AG36" s="516"/>
      <c r="AH36" s="516"/>
      <c r="AI36" s="516"/>
      <c r="AJ36" s="517"/>
      <c r="AK36" s="40"/>
      <c r="AL36" s="40"/>
      <c r="AM36" s="76"/>
    </row>
    <row r="37" spans="1:39" ht="17.25" customHeight="1">
      <c r="A37" s="619"/>
      <c r="B37" s="62"/>
      <c r="C37" s="164"/>
      <c r="D37" s="158"/>
      <c r="E37" s="132"/>
      <c r="F37" s="530"/>
      <c r="G37" s="531"/>
      <c r="H37" s="532"/>
      <c r="I37" s="159"/>
      <c r="J37" s="154"/>
      <c r="K37" s="132"/>
      <c r="L37" s="154"/>
      <c r="M37" s="515"/>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7"/>
      <c r="AK37" s="40"/>
      <c r="AL37" s="40"/>
      <c r="AM37" s="76"/>
    </row>
    <row r="38" spans="1:39" ht="17.25" customHeight="1">
      <c r="A38" s="619"/>
      <c r="B38" s="62"/>
      <c r="C38" s="164"/>
      <c r="D38" s="155"/>
      <c r="E38" s="137"/>
      <c r="F38" s="527"/>
      <c r="G38" s="528"/>
      <c r="H38" s="529"/>
      <c r="I38" s="156"/>
      <c r="J38" s="157"/>
      <c r="K38" s="137"/>
      <c r="L38" s="157"/>
      <c r="M38" s="515"/>
      <c r="N38" s="516"/>
      <c r="O38" s="516"/>
      <c r="P38" s="516"/>
      <c r="Q38" s="516"/>
      <c r="R38" s="516"/>
      <c r="S38" s="516"/>
      <c r="T38" s="516"/>
      <c r="U38" s="516"/>
      <c r="V38" s="516"/>
      <c r="W38" s="516"/>
      <c r="X38" s="516"/>
      <c r="Y38" s="516"/>
      <c r="Z38" s="516"/>
      <c r="AA38" s="516"/>
      <c r="AB38" s="516"/>
      <c r="AC38" s="516"/>
      <c r="AD38" s="516"/>
      <c r="AE38" s="516"/>
      <c r="AF38" s="516"/>
      <c r="AG38" s="516"/>
      <c r="AH38" s="516"/>
      <c r="AI38" s="516"/>
      <c r="AJ38" s="517"/>
      <c r="AK38" s="40"/>
      <c r="AL38" s="40"/>
      <c r="AM38" s="76"/>
    </row>
    <row r="39" spans="1:39" ht="17.25" customHeight="1">
      <c r="A39" s="619"/>
      <c r="B39" s="62"/>
      <c r="C39" s="164"/>
      <c r="D39" s="158"/>
      <c r="E39" s="132"/>
      <c r="F39" s="530"/>
      <c r="G39" s="531"/>
      <c r="H39" s="532"/>
      <c r="I39" s="159"/>
      <c r="J39" s="154"/>
      <c r="K39" s="132"/>
      <c r="L39" s="154"/>
      <c r="M39" s="515"/>
      <c r="N39" s="516"/>
      <c r="O39" s="516"/>
      <c r="P39" s="516"/>
      <c r="Q39" s="516"/>
      <c r="R39" s="516"/>
      <c r="S39" s="516"/>
      <c r="T39" s="516"/>
      <c r="U39" s="516"/>
      <c r="V39" s="516"/>
      <c r="W39" s="516"/>
      <c r="X39" s="516"/>
      <c r="Y39" s="516"/>
      <c r="Z39" s="516"/>
      <c r="AA39" s="516"/>
      <c r="AB39" s="516"/>
      <c r="AC39" s="516"/>
      <c r="AD39" s="516"/>
      <c r="AE39" s="516"/>
      <c r="AF39" s="516"/>
      <c r="AG39" s="516"/>
      <c r="AH39" s="516"/>
      <c r="AI39" s="516"/>
      <c r="AJ39" s="517"/>
      <c r="AK39" s="40"/>
      <c r="AL39" s="40"/>
      <c r="AM39" s="76"/>
    </row>
    <row r="40" spans="1:39" ht="17.25" customHeight="1">
      <c r="A40" s="619"/>
      <c r="B40" s="62"/>
      <c r="C40" s="164"/>
      <c r="D40" s="155"/>
      <c r="E40" s="137"/>
      <c r="F40" s="527"/>
      <c r="G40" s="528"/>
      <c r="H40" s="529"/>
      <c r="I40" s="156"/>
      <c r="J40" s="157"/>
      <c r="K40" s="137"/>
      <c r="L40" s="157"/>
      <c r="M40" s="515"/>
      <c r="N40" s="516"/>
      <c r="O40" s="516"/>
      <c r="P40" s="516"/>
      <c r="Q40" s="516"/>
      <c r="R40" s="516"/>
      <c r="S40" s="516"/>
      <c r="T40" s="516"/>
      <c r="U40" s="516"/>
      <c r="V40" s="516"/>
      <c r="W40" s="516"/>
      <c r="X40" s="516"/>
      <c r="Y40" s="516"/>
      <c r="Z40" s="516"/>
      <c r="AA40" s="516"/>
      <c r="AB40" s="516"/>
      <c r="AC40" s="516"/>
      <c r="AD40" s="516"/>
      <c r="AE40" s="516"/>
      <c r="AF40" s="516"/>
      <c r="AG40" s="516"/>
      <c r="AH40" s="516"/>
      <c r="AI40" s="516"/>
      <c r="AJ40" s="517"/>
      <c r="AK40" s="40"/>
      <c r="AL40" s="40"/>
      <c r="AM40" s="76"/>
    </row>
    <row r="41" spans="1:39" ht="17.25" customHeight="1">
      <c r="A41" s="619"/>
      <c r="B41" s="62"/>
      <c r="C41" s="164"/>
      <c r="D41" s="158"/>
      <c r="E41" s="132"/>
      <c r="F41" s="530"/>
      <c r="G41" s="531"/>
      <c r="H41" s="532"/>
      <c r="I41" s="159"/>
      <c r="J41" s="154"/>
      <c r="K41" s="132"/>
      <c r="L41" s="154"/>
      <c r="M41" s="515"/>
      <c r="N41" s="516"/>
      <c r="O41" s="516"/>
      <c r="P41" s="516"/>
      <c r="Q41" s="516"/>
      <c r="R41" s="516"/>
      <c r="S41" s="516"/>
      <c r="T41" s="516"/>
      <c r="U41" s="516"/>
      <c r="V41" s="516"/>
      <c r="W41" s="516"/>
      <c r="X41" s="516"/>
      <c r="Y41" s="516"/>
      <c r="Z41" s="516"/>
      <c r="AA41" s="516"/>
      <c r="AB41" s="516"/>
      <c r="AC41" s="516"/>
      <c r="AD41" s="516"/>
      <c r="AE41" s="516"/>
      <c r="AF41" s="516"/>
      <c r="AG41" s="516"/>
      <c r="AH41" s="516"/>
      <c r="AI41" s="516"/>
      <c r="AJ41" s="517"/>
      <c r="AK41" s="40"/>
      <c r="AL41" s="40"/>
      <c r="AM41" s="76"/>
    </row>
    <row r="42" spans="1:39" ht="17.25" customHeight="1">
      <c r="A42" s="619"/>
      <c r="B42" s="62"/>
      <c r="C42" s="164"/>
      <c r="D42" s="155"/>
      <c r="E42" s="137"/>
      <c r="F42" s="527"/>
      <c r="G42" s="528"/>
      <c r="H42" s="529"/>
      <c r="I42" s="156"/>
      <c r="J42" s="157"/>
      <c r="K42" s="137"/>
      <c r="L42" s="157"/>
      <c r="M42" s="515"/>
      <c r="N42" s="516"/>
      <c r="O42" s="516"/>
      <c r="P42" s="516"/>
      <c r="Q42" s="516"/>
      <c r="R42" s="516"/>
      <c r="S42" s="516"/>
      <c r="T42" s="516"/>
      <c r="U42" s="516"/>
      <c r="V42" s="516"/>
      <c r="W42" s="516"/>
      <c r="X42" s="516"/>
      <c r="Y42" s="516"/>
      <c r="Z42" s="516"/>
      <c r="AA42" s="516"/>
      <c r="AB42" s="516"/>
      <c r="AC42" s="516"/>
      <c r="AD42" s="516"/>
      <c r="AE42" s="516"/>
      <c r="AF42" s="516"/>
      <c r="AG42" s="516"/>
      <c r="AH42" s="516"/>
      <c r="AI42" s="516"/>
      <c r="AJ42" s="517"/>
      <c r="AK42" s="40"/>
      <c r="AL42" s="40"/>
      <c r="AM42" s="76"/>
    </row>
    <row r="43" spans="1:39" ht="17.25" customHeight="1">
      <c r="A43" s="619"/>
      <c r="B43" s="62"/>
      <c r="C43" s="164"/>
      <c r="D43" s="158"/>
      <c r="E43" s="132"/>
      <c r="F43" s="530"/>
      <c r="G43" s="531"/>
      <c r="H43" s="532"/>
      <c r="I43" s="159"/>
      <c r="J43" s="154"/>
      <c r="K43" s="132"/>
      <c r="L43" s="154"/>
      <c r="M43" s="515"/>
      <c r="N43" s="516"/>
      <c r="O43" s="516"/>
      <c r="P43" s="516"/>
      <c r="Q43" s="516"/>
      <c r="R43" s="516"/>
      <c r="S43" s="516"/>
      <c r="T43" s="516"/>
      <c r="U43" s="516"/>
      <c r="V43" s="516"/>
      <c r="W43" s="516"/>
      <c r="X43" s="516"/>
      <c r="Y43" s="516"/>
      <c r="Z43" s="516"/>
      <c r="AA43" s="516"/>
      <c r="AB43" s="516"/>
      <c r="AC43" s="516"/>
      <c r="AD43" s="516"/>
      <c r="AE43" s="516"/>
      <c r="AF43" s="516"/>
      <c r="AG43" s="516"/>
      <c r="AH43" s="516"/>
      <c r="AI43" s="516"/>
      <c r="AJ43" s="517"/>
      <c r="AK43" s="40"/>
      <c r="AL43" s="40"/>
      <c r="AM43" s="76"/>
    </row>
    <row r="44" spans="1:39" ht="17.25" customHeight="1">
      <c r="A44" s="619"/>
      <c r="B44" s="62"/>
      <c r="C44" s="164"/>
      <c r="D44" s="155"/>
      <c r="E44" s="137"/>
      <c r="F44" s="527"/>
      <c r="G44" s="528"/>
      <c r="H44" s="529"/>
      <c r="I44" s="156"/>
      <c r="J44" s="157"/>
      <c r="K44" s="137"/>
      <c r="L44" s="157"/>
      <c r="M44" s="515"/>
      <c r="N44" s="516"/>
      <c r="O44" s="516"/>
      <c r="P44" s="516"/>
      <c r="Q44" s="516"/>
      <c r="R44" s="516"/>
      <c r="S44" s="516"/>
      <c r="T44" s="516"/>
      <c r="U44" s="516"/>
      <c r="V44" s="516"/>
      <c r="W44" s="516"/>
      <c r="X44" s="516"/>
      <c r="Y44" s="516"/>
      <c r="Z44" s="516"/>
      <c r="AA44" s="516"/>
      <c r="AB44" s="516"/>
      <c r="AC44" s="516"/>
      <c r="AD44" s="516"/>
      <c r="AE44" s="516"/>
      <c r="AF44" s="516"/>
      <c r="AG44" s="516"/>
      <c r="AH44" s="516"/>
      <c r="AI44" s="516"/>
      <c r="AJ44" s="517"/>
      <c r="AK44" s="40"/>
      <c r="AL44" s="40"/>
      <c r="AM44" s="76"/>
    </row>
    <row r="45" spans="1:39" ht="17.25" customHeight="1">
      <c r="A45" s="619"/>
      <c r="B45" s="62"/>
      <c r="C45" s="164"/>
      <c r="D45" s="158"/>
      <c r="E45" s="132"/>
      <c r="F45" s="530"/>
      <c r="G45" s="531"/>
      <c r="H45" s="532"/>
      <c r="I45" s="159"/>
      <c r="J45" s="154"/>
      <c r="K45" s="132"/>
      <c r="L45" s="154"/>
      <c r="M45" s="515"/>
      <c r="N45" s="516"/>
      <c r="O45" s="516"/>
      <c r="P45" s="516"/>
      <c r="Q45" s="516"/>
      <c r="R45" s="516"/>
      <c r="S45" s="516"/>
      <c r="T45" s="516"/>
      <c r="U45" s="516"/>
      <c r="V45" s="516"/>
      <c r="W45" s="516"/>
      <c r="X45" s="516"/>
      <c r="Y45" s="516"/>
      <c r="Z45" s="516"/>
      <c r="AA45" s="516"/>
      <c r="AB45" s="516"/>
      <c r="AC45" s="516"/>
      <c r="AD45" s="516"/>
      <c r="AE45" s="516"/>
      <c r="AF45" s="516"/>
      <c r="AG45" s="516"/>
      <c r="AH45" s="516"/>
      <c r="AI45" s="516"/>
      <c r="AJ45" s="517"/>
      <c r="AK45" s="40"/>
      <c r="AL45" s="40"/>
      <c r="AM45" s="76"/>
    </row>
    <row r="46" spans="1:39" ht="17.25" customHeight="1">
      <c r="A46" s="619"/>
      <c r="B46" s="62"/>
      <c r="C46" s="164"/>
      <c r="D46" s="155"/>
      <c r="E46" s="137"/>
      <c r="F46" s="527"/>
      <c r="G46" s="528"/>
      <c r="H46" s="529"/>
      <c r="I46" s="156"/>
      <c r="J46" s="157"/>
      <c r="K46" s="137"/>
      <c r="L46" s="157"/>
      <c r="M46" s="515"/>
      <c r="N46" s="516"/>
      <c r="O46" s="516"/>
      <c r="P46" s="516"/>
      <c r="Q46" s="516"/>
      <c r="R46" s="516"/>
      <c r="S46" s="516"/>
      <c r="T46" s="516"/>
      <c r="U46" s="516"/>
      <c r="V46" s="516"/>
      <c r="W46" s="516"/>
      <c r="X46" s="516"/>
      <c r="Y46" s="516"/>
      <c r="Z46" s="516"/>
      <c r="AA46" s="516"/>
      <c r="AB46" s="516"/>
      <c r="AC46" s="516"/>
      <c r="AD46" s="516"/>
      <c r="AE46" s="516"/>
      <c r="AF46" s="516"/>
      <c r="AG46" s="516"/>
      <c r="AH46" s="516"/>
      <c r="AI46" s="516"/>
      <c r="AJ46" s="517"/>
      <c r="AK46" s="40"/>
      <c r="AL46" s="40"/>
      <c r="AM46" s="76"/>
    </row>
    <row r="47" spans="1:39" ht="17.25" customHeight="1">
      <c r="A47" s="619"/>
      <c r="B47" s="62"/>
      <c r="C47" s="164"/>
      <c r="D47" s="160"/>
      <c r="E47" s="161"/>
      <c r="F47" s="530"/>
      <c r="G47" s="531"/>
      <c r="H47" s="532"/>
      <c r="I47" s="162"/>
      <c r="J47" s="163"/>
      <c r="K47" s="161"/>
      <c r="L47" s="163"/>
      <c r="M47" s="515"/>
      <c r="N47" s="516"/>
      <c r="O47" s="516"/>
      <c r="P47" s="516"/>
      <c r="Q47" s="516"/>
      <c r="R47" s="516"/>
      <c r="S47" s="516"/>
      <c r="T47" s="516"/>
      <c r="U47" s="516"/>
      <c r="V47" s="516"/>
      <c r="W47" s="516"/>
      <c r="X47" s="516"/>
      <c r="Y47" s="516"/>
      <c r="Z47" s="516"/>
      <c r="AA47" s="516"/>
      <c r="AB47" s="516"/>
      <c r="AC47" s="516"/>
      <c r="AD47" s="516"/>
      <c r="AE47" s="516"/>
      <c r="AF47" s="516"/>
      <c r="AG47" s="516"/>
      <c r="AH47" s="516"/>
      <c r="AI47" s="516"/>
      <c r="AJ47" s="517"/>
      <c r="AK47" s="40"/>
      <c r="AL47" s="40"/>
      <c r="AM47" s="76"/>
    </row>
    <row r="48" spans="1:39" ht="17.25" customHeight="1">
      <c r="A48" s="619"/>
      <c r="B48" s="62"/>
      <c r="C48" s="144"/>
      <c r="D48" s="158"/>
      <c r="E48" s="132"/>
      <c r="F48" s="527"/>
      <c r="G48" s="528"/>
      <c r="H48" s="529"/>
      <c r="I48" s="159"/>
      <c r="J48" s="154"/>
      <c r="K48" s="132"/>
      <c r="L48" s="154"/>
      <c r="M48" s="515"/>
      <c r="N48" s="516"/>
      <c r="O48" s="516"/>
      <c r="P48" s="516"/>
      <c r="Q48" s="516"/>
      <c r="R48" s="516"/>
      <c r="S48" s="516"/>
      <c r="T48" s="516"/>
      <c r="U48" s="516"/>
      <c r="V48" s="516"/>
      <c r="W48" s="516"/>
      <c r="X48" s="516"/>
      <c r="Y48" s="516"/>
      <c r="Z48" s="516"/>
      <c r="AA48" s="516"/>
      <c r="AB48" s="516"/>
      <c r="AC48" s="516"/>
      <c r="AD48" s="516"/>
      <c r="AE48" s="516"/>
      <c r="AF48" s="516"/>
      <c r="AG48" s="516"/>
      <c r="AH48" s="516"/>
      <c r="AI48" s="516"/>
      <c r="AJ48" s="517"/>
      <c r="AK48" s="40"/>
      <c r="AL48" s="40"/>
      <c r="AM48" s="76"/>
    </row>
    <row r="49" spans="1:39" ht="17.25" customHeight="1">
      <c r="A49" s="619"/>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19"/>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19"/>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19"/>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4" t="s">
        <v>25</v>
      </c>
      <c r="AI52" s="584"/>
      <c r="AJ52" s="584"/>
      <c r="AK52" s="40"/>
      <c r="AL52" s="40"/>
      <c r="AM52" s="76"/>
    </row>
    <row r="53" spans="1:39" ht="17.25" customHeight="1">
      <c r="A53" s="619"/>
      <c r="B53" s="62"/>
      <c r="AH53" s="584"/>
      <c r="AI53" s="585"/>
      <c r="AJ53" s="585"/>
      <c r="AK53" s="83"/>
      <c r="AL53" s="40"/>
      <c r="AM53" s="76"/>
    </row>
    <row r="54" spans="1:39" ht="17.25" customHeight="1">
      <c r="A54" s="619"/>
      <c r="B54" s="62"/>
      <c r="D54" s="36"/>
      <c r="E54" s="36"/>
      <c r="F54" s="37"/>
      <c r="G54" s="38"/>
      <c r="H54" s="38"/>
      <c r="AB54" s="581" t="s">
        <v>1922</v>
      </c>
      <c r="AC54" s="582"/>
      <c r="AD54" s="582"/>
      <c r="AE54" s="582"/>
      <c r="AF54" s="582"/>
      <c r="AG54" s="582"/>
      <c r="AH54" s="582"/>
      <c r="AI54" s="582"/>
      <c r="AJ54" s="582"/>
      <c r="AK54" s="583"/>
      <c r="AL54" s="40"/>
      <c r="AM54" s="76"/>
    </row>
    <row r="55" spans="1:39" ht="17.25" customHeight="1">
      <c r="A55" s="619"/>
      <c r="B55" s="542"/>
      <c r="C55" s="543"/>
      <c r="D55" s="543"/>
      <c r="E55" s="543"/>
      <c r="F55" s="544"/>
      <c r="G55" s="39"/>
      <c r="H55" s="42" t="s">
        <v>0</v>
      </c>
      <c r="I55" s="43"/>
      <c r="J55" s="33"/>
      <c r="K55" s="33"/>
      <c r="L55" s="39"/>
      <c r="M55" s="524" t="s">
        <v>50</v>
      </c>
      <c r="N55" s="524"/>
      <c r="O55" s="608" t="str">
        <f>IF(ISNUMBER(VALUE(RIGHT(O57,4))),RIGHT(O57,4),"Stationsbezeichnung ungültig / invalid station name")</f>
        <v>1120</v>
      </c>
      <c r="P55" s="609"/>
      <c r="Q55" s="609"/>
      <c r="R55" s="609"/>
      <c r="S55" s="610"/>
      <c r="T55" s="614" t="s">
        <v>13</v>
      </c>
      <c r="U55" s="524" t="s">
        <v>2</v>
      </c>
      <c r="V55" s="524"/>
      <c r="W55" s="44"/>
      <c r="X55" s="552" t="s">
        <v>1925</v>
      </c>
      <c r="Y55" s="553"/>
      <c r="Z55" s="607" t="s">
        <v>3</v>
      </c>
      <c r="AA55" s="607"/>
      <c r="AB55" s="525">
        <v>3</v>
      </c>
      <c r="AD55" s="33"/>
      <c r="AE55" s="33"/>
      <c r="AF55" s="65" t="s">
        <v>11</v>
      </c>
      <c r="AG55" s="65"/>
      <c r="AH55" s="59"/>
      <c r="AI55" s="39"/>
      <c r="AJ55" s="67" t="s">
        <v>4</v>
      </c>
      <c r="AK55" s="67" t="s">
        <v>5</v>
      </c>
      <c r="AL55" s="39"/>
      <c r="AM55" s="76"/>
    </row>
    <row r="56" spans="1:39" ht="17.25" customHeight="1">
      <c r="A56" s="619"/>
      <c r="B56" s="545"/>
      <c r="C56" s="546"/>
      <c r="D56" s="546"/>
      <c r="E56" s="546"/>
      <c r="F56" s="547"/>
      <c r="G56" s="40"/>
      <c r="H56" s="539" t="s">
        <v>33</v>
      </c>
      <c r="I56" s="540"/>
      <c r="J56" s="540"/>
      <c r="K56" s="540"/>
      <c r="L56" s="541"/>
      <c r="M56" s="524" t="s">
        <v>15</v>
      </c>
      <c r="N56" s="524"/>
      <c r="O56" s="611"/>
      <c r="P56" s="612"/>
      <c r="Q56" s="612"/>
      <c r="R56" s="612"/>
      <c r="S56" s="613"/>
      <c r="T56" s="615"/>
      <c r="U56" s="524" t="s">
        <v>19</v>
      </c>
      <c r="V56" s="524"/>
      <c r="W56" s="45"/>
      <c r="X56" s="555"/>
      <c r="Y56" s="556"/>
      <c r="Z56" s="607" t="s">
        <v>1302</v>
      </c>
      <c r="AA56" s="607"/>
      <c r="AB56" s="526"/>
      <c r="AF56" s="72" t="s">
        <v>56</v>
      </c>
      <c r="AG56" s="73"/>
      <c r="AH56" s="60"/>
      <c r="AI56" s="40"/>
      <c r="AJ56" s="74" t="s">
        <v>54</v>
      </c>
      <c r="AK56" s="84" t="s">
        <v>46</v>
      </c>
      <c r="AL56" s="40"/>
      <c r="AM56" s="76"/>
    </row>
    <row r="57" spans="1:39" ht="17.25" customHeight="1">
      <c r="A57" s="619"/>
      <c r="B57" s="545"/>
      <c r="C57" s="546"/>
      <c r="D57" s="546"/>
      <c r="E57" s="546"/>
      <c r="F57" s="547"/>
      <c r="G57" s="41"/>
      <c r="H57" s="66"/>
      <c r="I57" s="63"/>
      <c r="J57" s="63"/>
      <c r="K57" s="63"/>
      <c r="L57" s="64"/>
      <c r="M57" s="524" t="s">
        <v>51</v>
      </c>
      <c r="N57" s="524"/>
      <c r="O57" s="551" t="s">
        <v>1929</v>
      </c>
      <c r="P57" s="552"/>
      <c r="Q57" s="552"/>
      <c r="R57" s="552"/>
      <c r="S57" s="553"/>
      <c r="T57" s="616"/>
      <c r="U57" s="524" t="s">
        <v>7</v>
      </c>
      <c r="V57" s="524"/>
      <c r="W57" s="47"/>
      <c r="X57" s="552" t="s">
        <v>1925</v>
      </c>
      <c r="Y57" s="553"/>
      <c r="Z57" s="506" t="s">
        <v>8</v>
      </c>
      <c r="AA57" s="603">
        <v>45013</v>
      </c>
      <c r="AB57" s="604"/>
      <c r="AC57" s="48"/>
      <c r="AD57" s="35"/>
      <c r="AE57" s="35"/>
      <c r="AF57" s="87"/>
      <c r="AG57" s="87"/>
      <c r="AH57" s="87"/>
      <c r="AI57" s="88"/>
      <c r="AJ57" s="85"/>
      <c r="AK57" s="40"/>
      <c r="AL57" s="40"/>
      <c r="AM57" s="76"/>
    </row>
    <row r="58" spans="1:39" ht="18" customHeight="1">
      <c r="A58" s="619"/>
      <c r="B58" s="545"/>
      <c r="C58" s="546"/>
      <c r="D58" s="546"/>
      <c r="E58" s="546"/>
      <c r="F58" s="547"/>
      <c r="G58" s="39"/>
      <c r="H58" s="42" t="s">
        <v>55</v>
      </c>
      <c r="I58" s="43"/>
      <c r="J58" s="33"/>
      <c r="K58" s="33"/>
      <c r="L58" s="39"/>
      <c r="M58" s="524" t="s">
        <v>52</v>
      </c>
      <c r="N58" s="524"/>
      <c r="O58" s="554"/>
      <c r="P58" s="555"/>
      <c r="Q58" s="555"/>
      <c r="R58" s="555"/>
      <c r="S58" s="556"/>
      <c r="T58" s="614" t="s">
        <v>53</v>
      </c>
      <c r="U58" s="524" t="s">
        <v>1920</v>
      </c>
      <c r="V58" s="524"/>
      <c r="W58" s="44"/>
      <c r="X58" s="555"/>
      <c r="Y58" s="556"/>
      <c r="Z58" s="506" t="s">
        <v>23</v>
      </c>
      <c r="AA58" s="605"/>
      <c r="AB58" s="606"/>
      <c r="AD58" s="33"/>
      <c r="AE58" s="33"/>
      <c r="AF58" s="564" t="s">
        <v>1928</v>
      </c>
      <c r="AG58" s="564"/>
      <c r="AH58" s="564"/>
      <c r="AI58" s="565"/>
      <c r="AJ58" s="510" t="s">
        <v>20</v>
      </c>
      <c r="AK58" s="510" t="s">
        <v>21</v>
      </c>
      <c r="AL58" s="40"/>
      <c r="AM58" s="76"/>
    </row>
    <row r="59" spans="1:39" ht="17.25" customHeight="1">
      <c r="A59" s="619"/>
      <c r="B59" s="548" t="s">
        <v>1703</v>
      </c>
      <c r="C59" s="549"/>
      <c r="D59" s="549"/>
      <c r="E59" s="549"/>
      <c r="F59" s="550"/>
      <c r="G59" s="40"/>
      <c r="H59" s="539" t="s">
        <v>48</v>
      </c>
      <c r="I59" s="540"/>
      <c r="J59" s="540"/>
      <c r="K59" s="540"/>
      <c r="L59" s="541"/>
      <c r="M59" s="524" t="s">
        <v>6</v>
      </c>
      <c r="N59" s="524"/>
      <c r="O59" s="551" t="s">
        <v>1921</v>
      </c>
      <c r="P59" s="552"/>
      <c r="Q59" s="552"/>
      <c r="R59" s="552"/>
      <c r="S59" s="553"/>
      <c r="T59" s="615"/>
      <c r="U59" s="524" t="s">
        <v>10</v>
      </c>
      <c r="V59" s="524"/>
      <c r="W59" s="45"/>
      <c r="X59" s="552" t="s">
        <v>1925</v>
      </c>
      <c r="Y59" s="553"/>
      <c r="Z59" t="s">
        <v>9</v>
      </c>
      <c r="AA59" s="551"/>
      <c r="AB59" s="553"/>
      <c r="AF59" s="86"/>
      <c r="AG59" s="87"/>
      <c r="AH59" s="87"/>
      <c r="AI59" s="88"/>
      <c r="AJ59" s="510"/>
      <c r="AK59" s="510"/>
      <c r="AL59" s="40"/>
      <c r="AM59" s="76"/>
    </row>
    <row r="60" spans="1:39" ht="17.25" customHeight="1">
      <c r="A60" s="620"/>
      <c r="B60" s="272"/>
      <c r="C60" s="273"/>
      <c r="D60" s="273"/>
      <c r="E60" s="273"/>
      <c r="F60" s="274"/>
      <c r="G60" s="41"/>
      <c r="H60" s="66"/>
      <c r="I60" s="63"/>
      <c r="J60" s="63"/>
      <c r="K60" s="63"/>
      <c r="L60" s="64"/>
      <c r="M60" s="524" t="s">
        <v>16</v>
      </c>
      <c r="N60" s="524"/>
      <c r="O60" s="554"/>
      <c r="P60" s="555"/>
      <c r="Q60" s="555"/>
      <c r="R60" s="555"/>
      <c r="S60" s="556"/>
      <c r="T60" s="616"/>
      <c r="U60" s="524" t="s">
        <v>1917</v>
      </c>
      <c r="V60" s="524"/>
      <c r="W60" s="47"/>
      <c r="X60" s="555"/>
      <c r="Y60" s="556"/>
      <c r="Z60" s="507" t="s">
        <v>1919</v>
      </c>
      <c r="AA60" s="554"/>
      <c r="AB60" s="556"/>
      <c r="AC60" s="48"/>
      <c r="AD60" s="35"/>
      <c r="AE60" s="35"/>
      <c r="AF60" s="89"/>
      <c r="AG60" s="89"/>
      <c r="AH60" s="89"/>
      <c r="AI60" s="90"/>
      <c r="AJ60" s="511"/>
      <c r="AK60" s="511"/>
      <c r="AL60" s="41"/>
      <c r="AM60" s="76"/>
    </row>
    <row r="61" spans="1:39" ht="17.25" customHeight="1">
      <c r="B61"/>
      <c r="C61"/>
      <c r="AH61"/>
    </row>
    <row r="62" spans="1:39" ht="17.25" hidden="1" customHeight="1">
      <c r="B62" s="29" t="s">
        <v>1703</v>
      </c>
      <c r="C62"/>
      <c r="AH62"/>
    </row>
    <row r="63" spans="1:39" ht="17.25" hidden="1" customHeight="1">
      <c r="B63" s="29" t="s">
        <v>1704</v>
      </c>
      <c r="C63"/>
      <c r="AH63"/>
    </row>
    <row r="64" spans="1:39" ht="17.25" hidden="1" customHeight="1">
      <c r="B64" s="29" t="s">
        <v>1706</v>
      </c>
      <c r="C64"/>
      <c r="AH64"/>
    </row>
    <row r="65" spans="1:34" ht="17.25" hidden="1" customHeight="1">
      <c r="B65" s="29" t="s">
        <v>1705</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44"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I55" sqref="I55"/>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1120</v>
      </c>
      <c r="P55" s="652"/>
      <c r="Q55" s="652"/>
      <c r="R55" s="652"/>
      <c r="S55" s="652"/>
      <c r="T55" s="614" t="s">
        <v>13</v>
      </c>
      <c r="U55" s="651" t="s">
        <v>2</v>
      </c>
      <c r="V55" s="651"/>
      <c r="W55" s="174"/>
      <c r="X55" s="653" t="str">
        <f>'Blatt 0'!X55:Y56</f>
        <v>GME</v>
      </c>
      <c r="Y55" s="653"/>
      <c r="Z55" s="654" t="s">
        <v>3</v>
      </c>
      <c r="AA55" s="654"/>
      <c r="AB55" s="653">
        <f>'Blatt 0'!AB55:AB56</f>
        <v>3</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1918</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ST1120</v>
      </c>
      <c r="P57" s="655"/>
      <c r="Q57" s="655"/>
      <c r="R57" s="655"/>
      <c r="S57" s="655"/>
      <c r="T57" s="616"/>
      <c r="U57" s="651" t="s">
        <v>7</v>
      </c>
      <c r="V57" s="651"/>
      <c r="W57" s="176"/>
      <c r="X57" s="653" t="str">
        <f>'Blatt 0'!X57:Y58</f>
        <v>GME</v>
      </c>
      <c r="Y57" s="653"/>
      <c r="Z57" s="507"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1920</v>
      </c>
      <c r="V58" s="651"/>
      <c r="W58" s="174"/>
      <c r="X58" s="653"/>
      <c r="Y58" s="653"/>
      <c r="Z58" s="507"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7"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1917</v>
      </c>
      <c r="V60" s="651"/>
      <c r="W60" s="176"/>
      <c r="X60" s="653"/>
      <c r="Y60" s="653"/>
      <c r="Z60" s="507" t="s">
        <v>1919</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tabSelected="1" topLeftCell="A7" zoomScale="60" zoomScaleNormal="60" zoomScaleSheetLayoutView="50" workbookViewId="0">
      <selection activeCell="T41" sqref="T41"/>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1120</v>
      </c>
      <c r="P55" s="652"/>
      <c r="Q55" s="652"/>
      <c r="R55" s="652"/>
      <c r="S55" s="652"/>
      <c r="T55" s="614" t="s">
        <v>13</v>
      </c>
      <c r="U55" s="651" t="s">
        <v>2</v>
      </c>
      <c r="V55" s="651"/>
      <c r="W55" s="174"/>
      <c r="X55" s="653" t="str">
        <f>'Blatt 0'!X55:Y56</f>
        <v>GME</v>
      </c>
      <c r="Y55" s="653"/>
      <c r="Z55" s="654" t="s">
        <v>3</v>
      </c>
      <c r="AA55" s="654"/>
      <c r="AB55" s="653">
        <f>'Blatt 0'!AB55:AB56</f>
        <v>3</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1918</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ST1120</v>
      </c>
      <c r="P57" s="655"/>
      <c r="Q57" s="655"/>
      <c r="R57" s="655"/>
      <c r="S57" s="655"/>
      <c r="T57" s="616"/>
      <c r="U57" s="651" t="s">
        <v>7</v>
      </c>
      <c r="V57" s="651"/>
      <c r="W57" s="176"/>
      <c r="X57" s="653" t="str">
        <f>'Blatt 0'!X57:Y58</f>
        <v>GME</v>
      </c>
      <c r="Y57" s="653"/>
      <c r="Z57" s="507"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1920</v>
      </c>
      <c r="V58" s="651"/>
      <c r="W58" s="174"/>
      <c r="X58" s="653"/>
      <c r="Y58" s="653"/>
      <c r="Z58" s="507"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7"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1917</v>
      </c>
      <c r="V60" s="651"/>
      <c r="W60" s="176"/>
      <c r="X60" s="653"/>
      <c r="Y60" s="653"/>
      <c r="Z60" s="507" t="s">
        <v>1919</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showWhiteSpace="0" topLeftCell="A10" zoomScale="85" zoomScaleNormal="85" zoomScaleSheetLayoutView="40" zoomScalePageLayoutView="10" workbookViewId="0">
      <selection activeCell="H19" sqref="H19:H23"/>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5" t="s">
        <v>1177</v>
      </c>
      <c r="BI1" s="1025" t="s">
        <v>1182</v>
      </c>
      <c r="BJ1" s="1025"/>
      <c r="BK1" s="1025"/>
      <c r="BL1" s="1025"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5"/>
      <c r="BI2" s="1026"/>
      <c r="BJ2" s="1026"/>
      <c r="BK2" s="1025"/>
      <c r="BL2" s="1025"/>
    </row>
    <row r="3" spans="1:79" ht="28.5" customHeight="1" thickBot="1">
      <c r="A3" s="796"/>
      <c r="B3" s="281"/>
      <c r="C3" s="748" t="s">
        <v>35</v>
      </c>
      <c r="D3" s="749"/>
      <c r="E3" s="750"/>
      <c r="F3" s="1041" t="str">
        <f>IF($E$6="DE","Karosseriebau","Bodyshop")</f>
        <v>Bodyshop</v>
      </c>
      <c r="G3" s="1042"/>
      <c r="H3" s="1042"/>
      <c r="I3" s="1042"/>
      <c r="J3" s="1042"/>
      <c r="K3" s="1042"/>
      <c r="L3" s="1042"/>
      <c r="M3" s="1042"/>
      <c r="N3" s="1042"/>
      <c r="O3" s="1042"/>
      <c r="P3" s="1042"/>
      <c r="Q3" s="1042"/>
      <c r="R3" s="1042"/>
      <c r="S3" s="1043"/>
      <c r="T3" s="832" t="s">
        <v>1274</v>
      </c>
      <c r="U3" s="833"/>
      <c r="V3" s="833"/>
      <c r="W3" s="833"/>
      <c r="X3" s="833"/>
      <c r="Y3" s="833"/>
      <c r="Z3" s="833"/>
      <c r="AA3" s="833"/>
      <c r="AB3" s="833"/>
      <c r="AC3" s="833"/>
      <c r="AD3" s="833"/>
      <c r="AE3" s="833"/>
      <c r="AF3" s="833"/>
      <c r="AG3" s="833"/>
      <c r="AH3" s="833"/>
      <c r="AI3" s="833"/>
      <c r="AJ3" s="833"/>
      <c r="AK3" s="1028" t="s">
        <v>1911</v>
      </c>
      <c r="AL3" s="1029"/>
      <c r="AM3" s="1029"/>
      <c r="AN3" s="1029"/>
      <c r="AO3" s="679" t="str">
        <f>IF(AND($E$6="DE",BF44&gt;0),"Achtung: Sonderfräsmesser erforderlich, Rücksprache Prozessmethodik!",IF(AND($E$6="ENG",BF44&gt;0),"Warning: Special Tip-Dresser required, consult Process Methodology","  "))</f>
        <v>Warning: Special Tip-Dresser required, consult Process Methodology</v>
      </c>
      <c r="AP3" s="680"/>
      <c r="AQ3" s="681"/>
      <c r="AR3" s="681"/>
      <c r="AS3" s="681"/>
      <c r="AT3" s="681"/>
      <c r="AU3" s="681"/>
      <c r="AV3" s="681"/>
      <c r="AW3" s="681"/>
      <c r="AX3" s="681"/>
      <c r="AY3" s="681"/>
      <c r="AZ3" s="681"/>
      <c r="BA3" s="681"/>
      <c r="BB3" s="682"/>
      <c r="BC3" s="282"/>
      <c r="BD3" s="282"/>
      <c r="BE3" s="282"/>
      <c r="BF3" s="282"/>
      <c r="BG3" s="283"/>
      <c r="BH3" s="283"/>
      <c r="BI3" s="284" t="s">
        <v>1188</v>
      </c>
      <c r="BJ3" s="285"/>
      <c r="BL3" s="286"/>
    </row>
    <row r="4" spans="1:79" ht="30.75" customHeight="1">
      <c r="A4" s="797"/>
      <c r="B4" s="281"/>
      <c r="C4" s="988" t="str">
        <f>IF($E$6="DE","Punktschweißen","Spot Welding")</f>
        <v>Spot Welding</v>
      </c>
      <c r="D4" s="989"/>
      <c r="E4" s="989"/>
      <c r="F4" s="989"/>
      <c r="G4" s="989"/>
      <c r="H4" s="989"/>
      <c r="I4" s="989"/>
      <c r="J4" s="989"/>
      <c r="K4" s="989"/>
      <c r="L4" s="990"/>
      <c r="M4" s="707" t="str">
        <f>IF($E$6="DE","Zeichnungsstand:","Dwg release:")</f>
        <v>Dwg release:</v>
      </c>
      <c r="N4" s="708"/>
      <c r="O4" s="709"/>
      <c r="P4" s="713">
        <v>45013</v>
      </c>
      <c r="Q4" s="714"/>
      <c r="R4" s="714"/>
      <c r="S4" s="715"/>
      <c r="T4" s="1072"/>
      <c r="U4" s="1073"/>
      <c r="V4" s="1073"/>
      <c r="W4" s="1073"/>
      <c r="X4" s="1073"/>
      <c r="Y4" s="1073"/>
      <c r="Z4" s="1073"/>
      <c r="AA4" s="1073"/>
      <c r="AB4" s="1073"/>
      <c r="AC4" s="1073"/>
      <c r="AD4" s="1073"/>
      <c r="AE4" s="1073"/>
      <c r="AF4" s="1073"/>
      <c r="AG4" s="1074"/>
      <c r="AH4" s="837" t="str">
        <f>IF($E$6="DE","Elektrodenkappe","Electrode Cap")</f>
        <v>Electrode Cap</v>
      </c>
      <c r="AI4" s="838"/>
      <c r="AJ4" s="839"/>
      <c r="AK4" s="1070" t="str">
        <f>X46</f>
        <v>39D 1979-2 !</v>
      </c>
      <c r="AL4" s="1070"/>
      <c r="AM4" s="1070"/>
      <c r="AN4" s="1070"/>
      <c r="AO4" s="683"/>
      <c r="AP4" s="684"/>
      <c r="AQ4" s="685"/>
      <c r="AR4" s="685"/>
      <c r="AS4" s="685"/>
      <c r="AT4" s="685"/>
      <c r="AU4" s="685"/>
      <c r="AV4" s="685"/>
      <c r="AW4" s="685"/>
      <c r="AX4" s="685"/>
      <c r="AY4" s="685"/>
      <c r="AZ4" s="685"/>
      <c r="BA4" s="685"/>
      <c r="BB4" s="686"/>
      <c r="BC4" s="282"/>
      <c r="BD4" s="282"/>
      <c r="BE4" s="282"/>
      <c r="BF4" s="282"/>
      <c r="BG4" s="287"/>
      <c r="BH4" s="288" t="s">
        <v>1175</v>
      </c>
      <c r="BI4" s="288" t="s">
        <v>1186</v>
      </c>
      <c r="BJ4" s="289"/>
      <c r="BL4" s="290" t="s">
        <v>1276</v>
      </c>
    </row>
    <row r="5" spans="1:79" ht="30.75" customHeight="1" thickBot="1">
      <c r="A5" s="797"/>
      <c r="B5" s="281"/>
      <c r="C5" s="693"/>
      <c r="D5" s="694"/>
      <c r="E5" s="694"/>
      <c r="F5" s="694"/>
      <c r="G5" s="694"/>
      <c r="H5" s="694"/>
      <c r="I5" s="694"/>
      <c r="J5" s="694"/>
      <c r="K5" s="694"/>
      <c r="L5" s="695"/>
      <c r="M5" s="710"/>
      <c r="N5" s="711"/>
      <c r="O5" s="712"/>
      <c r="P5" s="716"/>
      <c r="Q5" s="716"/>
      <c r="R5" s="716"/>
      <c r="S5" s="717"/>
      <c r="T5" s="1075"/>
      <c r="U5" s="1076"/>
      <c r="V5" s="1076"/>
      <c r="W5" s="1076"/>
      <c r="X5" s="1076"/>
      <c r="Y5" s="1076"/>
      <c r="Z5" s="1076"/>
      <c r="AA5" s="1076"/>
      <c r="AB5" s="1076"/>
      <c r="AC5" s="1076"/>
      <c r="AD5" s="1076"/>
      <c r="AE5" s="1076"/>
      <c r="AF5" s="1076"/>
      <c r="AG5" s="1077"/>
      <c r="AH5" s="840"/>
      <c r="AI5" s="841"/>
      <c r="AJ5" s="842"/>
      <c r="AK5" s="1071"/>
      <c r="AL5" s="1071"/>
      <c r="AM5" s="1071"/>
      <c r="AN5" s="1071"/>
      <c r="AO5" s="683"/>
      <c r="AP5" s="684"/>
      <c r="AQ5" s="685"/>
      <c r="AR5" s="685"/>
      <c r="AS5" s="685"/>
      <c r="AT5" s="685"/>
      <c r="AU5" s="685"/>
      <c r="AV5" s="685"/>
      <c r="AW5" s="685"/>
      <c r="AX5" s="685"/>
      <c r="AY5" s="685"/>
      <c r="AZ5" s="685"/>
      <c r="BA5" s="685"/>
      <c r="BB5" s="686"/>
      <c r="BC5" s="282"/>
      <c r="BD5" s="282"/>
      <c r="BE5" s="282"/>
      <c r="BF5" s="282"/>
      <c r="BH5" s="291" t="s">
        <v>1176</v>
      </c>
      <c r="BI5" s="288" t="s">
        <v>1187</v>
      </c>
      <c r="BJ5" s="289"/>
      <c r="BL5" s="289" t="s">
        <v>1277</v>
      </c>
      <c r="BO5" s="292" t="s">
        <v>1185</v>
      </c>
    </row>
    <row r="6" spans="1:79" ht="24" customHeight="1">
      <c r="A6" s="797"/>
      <c r="B6" s="281"/>
      <c r="C6" s="963" t="s">
        <v>1174</v>
      </c>
      <c r="D6" s="964"/>
      <c r="E6" s="969" t="s">
        <v>1176</v>
      </c>
      <c r="F6" s="977" t="s">
        <v>1183</v>
      </c>
      <c r="G6" s="972" t="s">
        <v>1186</v>
      </c>
      <c r="H6" s="979" t="str">
        <f>IF(G6="SPZ","Servopneumatische Schweißzange/ Servopneumatic Welding Gun",IF(G6="RZ","Roboterschweißzange/ Robot Welding Gun","Zangentyp auswählen! /                                                     Choose Gun Type!"))</f>
        <v>Servopneumatische Schweißzange/ Servopneumatic Welding Gun</v>
      </c>
      <c r="I6" s="980"/>
      <c r="J6" s="980"/>
      <c r="K6" s="980"/>
      <c r="L6" s="981"/>
      <c r="M6" s="698" t="s">
        <v>1927</v>
      </c>
      <c r="N6" s="699"/>
      <c r="O6" s="699"/>
      <c r="P6" s="699"/>
      <c r="Q6" s="699"/>
      <c r="R6" s="699"/>
      <c r="S6" s="700"/>
      <c r="T6" s="724" t="s">
        <v>1945</v>
      </c>
      <c r="U6" s="724"/>
      <c r="V6" s="724"/>
      <c r="W6" s="724"/>
      <c r="X6" s="724"/>
      <c r="Y6" s="724"/>
      <c r="Z6" s="724"/>
      <c r="AA6" s="724"/>
      <c r="AB6" s="724"/>
      <c r="AC6" s="724"/>
      <c r="AD6" s="724"/>
      <c r="AE6" s="724"/>
      <c r="AF6" s="724"/>
      <c r="AG6" s="725"/>
      <c r="AH6" s="1058" t="str">
        <f>IF($E$6="DE","Sonderelektrode (manuelle Auswahl)","Special Electrode Cap (manual selection)")</f>
        <v>Special Electrode Cap (manual selection)</v>
      </c>
      <c r="AI6" s="1059"/>
      <c r="AJ6" s="1060"/>
      <c r="AK6" s="1033" t="str">
        <f>IF($E$6="DE","Sonderfräsmesser (manuelle Auswahl)","Special Tip-Dresser (manual selection)")</f>
        <v>Special Tip-Dresser (manual selection)</v>
      </c>
      <c r="AL6" s="1034"/>
      <c r="AM6" s="1034"/>
      <c r="AN6" s="1034"/>
      <c r="AO6" s="687" t="str">
        <f>IF(OR(COUNTBLANK(AH8:AN8)&lt;7,BF44&gt;0),IF(E6="DE","Sonderfräsmesser / -elektroden genehmigt durch:", "Special Tip-Dresser / Electrodes approved by:"),"")</f>
        <v>Special Tip-Dresser / Electrodes approved by:</v>
      </c>
      <c r="AP6" s="688"/>
      <c r="AQ6" s="689"/>
      <c r="AR6" s="689"/>
      <c r="AS6" s="689"/>
      <c r="AT6" s="689"/>
      <c r="AU6" s="689"/>
      <c r="AV6" s="689"/>
      <c r="AW6" s="689"/>
      <c r="AX6" s="689"/>
      <c r="AY6" s="689"/>
      <c r="AZ6" s="689"/>
      <c r="BA6" s="689"/>
      <c r="BB6" s="690"/>
      <c r="BC6" s="282"/>
      <c r="BD6" s="282"/>
      <c r="BE6" s="282"/>
      <c r="BF6" s="282"/>
      <c r="BO6" s="292" t="s">
        <v>1184</v>
      </c>
    </row>
    <row r="7" spans="1:79" ht="12" customHeight="1">
      <c r="A7" s="797"/>
      <c r="B7" s="281"/>
      <c r="C7" s="965"/>
      <c r="D7" s="966"/>
      <c r="E7" s="970"/>
      <c r="F7" s="978"/>
      <c r="G7" s="973"/>
      <c r="H7" s="982"/>
      <c r="I7" s="983"/>
      <c r="J7" s="983"/>
      <c r="K7" s="983"/>
      <c r="L7" s="984"/>
      <c r="M7" s="701"/>
      <c r="N7" s="702"/>
      <c r="O7" s="702"/>
      <c r="P7" s="702"/>
      <c r="Q7" s="702"/>
      <c r="R7" s="702"/>
      <c r="S7" s="703"/>
      <c r="T7" s="726"/>
      <c r="U7" s="726"/>
      <c r="V7" s="726"/>
      <c r="W7" s="726"/>
      <c r="X7" s="726"/>
      <c r="Y7" s="726"/>
      <c r="Z7" s="726"/>
      <c r="AA7" s="726"/>
      <c r="AB7" s="726"/>
      <c r="AC7" s="726"/>
      <c r="AD7" s="726"/>
      <c r="AE7" s="726"/>
      <c r="AF7" s="726"/>
      <c r="AG7" s="727"/>
      <c r="AH7" s="1061"/>
      <c r="AI7" s="1062"/>
      <c r="AJ7" s="1063"/>
      <c r="AK7" s="293" t="s">
        <v>1178</v>
      </c>
      <c r="AL7" s="294" t="s">
        <v>1180</v>
      </c>
      <c r="AM7" s="294" t="s">
        <v>1179</v>
      </c>
      <c r="AN7" s="498" t="s">
        <v>1181</v>
      </c>
      <c r="AO7" s="687"/>
      <c r="AP7" s="688"/>
      <c r="AQ7" s="689"/>
      <c r="AR7" s="689"/>
      <c r="AS7" s="689"/>
      <c r="AT7" s="689"/>
      <c r="AU7" s="689"/>
      <c r="AV7" s="689"/>
      <c r="AW7" s="689"/>
      <c r="AX7" s="689"/>
      <c r="AY7" s="689"/>
      <c r="AZ7" s="689"/>
      <c r="BA7" s="689"/>
      <c r="BB7" s="690"/>
      <c r="BC7" s="282"/>
      <c r="BD7" s="282"/>
      <c r="BE7" s="282"/>
      <c r="BF7" s="282"/>
      <c r="BI7" s="279" t="s">
        <v>1752</v>
      </c>
      <c r="BJ7" s="279" t="s">
        <v>1724</v>
      </c>
    </row>
    <row r="8" spans="1:79" ht="45.75" customHeight="1" thickBot="1">
      <c r="A8" s="797"/>
      <c r="B8" s="281"/>
      <c r="C8" s="967"/>
      <c r="D8" s="968"/>
      <c r="E8" s="971"/>
      <c r="F8" s="295" t="str">
        <f>IF(E6="DE","Doppelzange (J/N)","Twin-Spot-Gun (J=Yes/N=No)")</f>
        <v>Twin-Spot-Gun (J=Yes/N=No)</v>
      </c>
      <c r="G8" s="439" t="s">
        <v>1926</v>
      </c>
      <c r="H8" s="974"/>
      <c r="I8" s="975"/>
      <c r="J8" s="975"/>
      <c r="K8" s="975"/>
      <c r="L8" s="976"/>
      <c r="M8" s="704"/>
      <c r="N8" s="705"/>
      <c r="O8" s="705"/>
      <c r="P8" s="705"/>
      <c r="Q8" s="705"/>
      <c r="R8" s="705"/>
      <c r="S8" s="706"/>
      <c r="T8" s="728"/>
      <c r="U8" s="728"/>
      <c r="V8" s="728"/>
      <c r="W8" s="728"/>
      <c r="X8" s="728"/>
      <c r="Y8" s="728"/>
      <c r="Z8" s="728"/>
      <c r="AA8" s="728"/>
      <c r="AB8" s="728"/>
      <c r="AC8" s="728"/>
      <c r="AD8" s="728"/>
      <c r="AE8" s="728"/>
      <c r="AF8" s="728"/>
      <c r="AG8" s="729"/>
      <c r="AH8" s="1051"/>
      <c r="AI8" s="1052"/>
      <c r="AJ8" s="1053"/>
      <c r="AK8" s="296"/>
      <c r="AL8" s="500"/>
      <c r="AM8" s="501"/>
      <c r="AN8" s="499"/>
      <c r="AO8" s="673" t="str">
        <f>IF(OR(COUNTBLANK(AH8:AN8)&lt;7,BF44&gt;0),IF(E6="DE","Name:                         (Abteilung)","Name                        (Dept.)"),"")</f>
        <v>Name                        (Dept.)</v>
      </c>
      <c r="AP8" s="674"/>
      <c r="AQ8" s="675"/>
      <c r="AR8" s="676"/>
      <c r="AS8" s="676"/>
      <c r="AT8" s="676"/>
      <c r="AU8" s="676"/>
      <c r="AV8" s="674" t="str">
        <f>IF(OR(COUNTBLANK(AH8:AN8)&lt;7,BF44&gt;0),IF(E6="DE","Datum","Date"),"")</f>
        <v>Date</v>
      </c>
      <c r="AW8" s="674"/>
      <c r="AX8" s="675"/>
      <c r="AY8" s="677"/>
      <c r="AZ8" s="677"/>
      <c r="BA8" s="676"/>
      <c r="BB8" s="678"/>
      <c r="BC8" s="282"/>
      <c r="BD8" s="282"/>
      <c r="BE8" s="282"/>
      <c r="BF8" s="282"/>
      <c r="BH8" s="460" t="s">
        <v>1723</v>
      </c>
      <c r="BI8" s="459" t="b">
        <f t="array" ref="BI8">OR(EXACT("M",G19:G43),EXACT("m",G19:G43))</f>
        <v>0</v>
      </c>
      <c r="BJ8" s="459" t="b">
        <f>(COUNTIF(BT19:BT43,"J"))&gt;0</f>
        <v>0</v>
      </c>
      <c r="BL8" s="279" t="s">
        <v>1894</v>
      </c>
    </row>
    <row r="9" spans="1:79" ht="28.5" customHeight="1">
      <c r="A9" s="797"/>
      <c r="B9" s="281"/>
      <c r="C9" s="991" t="str">
        <f>IF($E$6="DE","Punkt- Nummer (Index)","Welding-Spot Number (Index)")</f>
        <v>Welding-Spot Number (Index)</v>
      </c>
      <c r="D9" s="994" t="str">
        <f>IF($E$6="DE","Punkt- Name                                                   (FE - Bezeichnung)","Welding-Spot Number                                              (FE - designition)")</f>
        <v>Welding-Spot Number                                              (FE - designition)</v>
      </c>
      <c r="E9" s="997" t="str">
        <f>IF($E$6="DE","Schweißkoffer","Welding case-No.")</f>
        <v>Welding case-No.</v>
      </c>
      <c r="F9" s="997" t="str">
        <f>IF($E$6="DE","Schweißen durch Rob. IR .. /                                Werker WA ..","Welding with Rob. IR ... /                    Worker WR No …")</f>
        <v>Welding with Rob. IR ... /                    Worker WR No …</v>
      </c>
      <c r="G9" s="997" t="str">
        <f>IF($E$6="DE","Schweißzangen-Typ","Weldgun - Type")</f>
        <v>Weldgun - Type</v>
      </c>
      <c r="H9" s="1000" t="str">
        <f>IF($E$6="DE","Schweißzangen-Nr.","Weldgun drawing No.")</f>
        <v>Weldgun drawing No.</v>
      </c>
      <c r="I9" s="1003" t="str">
        <f>IF($E$6="DE","Trafo","Weld-Transformer")</f>
        <v>Weld-Transformer</v>
      </c>
      <c r="J9" s="1006" t="str">
        <f>IF($E$6="DE","Netzlinien","Car Netline")</f>
        <v>Car Netline</v>
      </c>
      <c r="K9" s="1007"/>
      <c r="L9" s="1008"/>
      <c r="M9" s="1006" t="str">
        <f>IF($E$6="DE","Blechpaarung","Sheet metal stack")</f>
        <v>Sheet metal stack</v>
      </c>
      <c r="N9" s="1007"/>
      <c r="O9" s="1009"/>
      <c r="P9" s="985" t="str">
        <f>IF($E$6="DE","Blechdicke / Werkstoff","Sheet Thickness / Material")</f>
        <v>Sheet Thickness / Material</v>
      </c>
      <c r="Q9" s="986"/>
      <c r="R9" s="986"/>
      <c r="S9" s="986"/>
      <c r="T9" s="986"/>
      <c r="U9" s="986"/>
      <c r="V9" s="986"/>
      <c r="W9" s="986"/>
      <c r="X9" s="987"/>
      <c r="Y9" s="450"/>
      <c r="Z9" s="733" t="str">
        <f>IF($E$6="DE","Zwischenrechnung","theoretical Values")</f>
        <v>theoretical Values</v>
      </c>
      <c r="AA9" s="734"/>
      <c r="AB9" s="735"/>
      <c r="AC9" s="861" t="str">
        <f>IF($E$6="DE","Schweißparameter","Welding Parameters")</f>
        <v>Welding Parameters</v>
      </c>
      <c r="AD9" s="861"/>
      <c r="AE9" s="862"/>
      <c r="AF9" s="696" t="str">
        <f>IF($E$6="DE","Anforderung","Requirement")</f>
        <v>Requirement</v>
      </c>
      <c r="AG9" s="697"/>
      <c r="AH9" s="1030" t="str">
        <f>IF($E$6="DE","benötigte Elektrodenkappen für Schweißpunkt","required Electrode Caps for Spot")</f>
        <v>required Electrode Caps for Spot</v>
      </c>
      <c r="AI9" s="1031"/>
      <c r="AJ9" s="1031"/>
      <c r="AK9" s="1056"/>
      <c r="AL9" s="1057"/>
      <c r="AM9" s="1064" t="str">
        <f>IF($E$6="DE","Bemerkung","Comments")</f>
        <v>Comments</v>
      </c>
      <c r="AN9" s="1065"/>
      <c r="AO9" s="1030" t="str">
        <f>IF($E$6="DE","Schweißpunkte gültig für folgende Typen:","Welding Spots valid for the following Types")</f>
        <v>Welding Spots valid for the following Types</v>
      </c>
      <c r="AP9" s="1031"/>
      <c r="AQ9" s="1031"/>
      <c r="AR9" s="1031"/>
      <c r="AS9" s="1031"/>
      <c r="AT9" s="1031"/>
      <c r="AU9" s="1031"/>
      <c r="AV9" s="1031"/>
      <c r="AW9" s="1031"/>
      <c r="AX9" s="1031"/>
      <c r="AY9" s="1031"/>
      <c r="AZ9" s="1031"/>
      <c r="BA9" s="1031"/>
      <c r="BB9" s="1032"/>
      <c r="BC9" s="282"/>
      <c r="BD9" s="282"/>
      <c r="BE9" s="282"/>
      <c r="BF9" s="282"/>
      <c r="BH9" s="306" t="s">
        <v>1725</v>
      </c>
      <c r="BI9" s="306" t="b">
        <f>(COUNTIF(G19:G43,"x"))&gt;0</f>
        <v>1</v>
      </c>
      <c r="BJ9" s="306" t="b">
        <f>(COUNTIF(BT19:BT43,"J"))&gt;0</f>
        <v>0</v>
      </c>
      <c r="BL9" s="279" t="b">
        <f>(COUNTIF(G19:G43,"s"))&gt;0</f>
        <v>0</v>
      </c>
    </row>
    <row r="10" spans="1:79" ht="21" customHeight="1">
      <c r="A10" s="797"/>
      <c r="B10" s="281"/>
      <c r="C10" s="992"/>
      <c r="D10" s="995"/>
      <c r="E10" s="998"/>
      <c r="F10" s="998"/>
      <c r="G10" s="998"/>
      <c r="H10" s="1001"/>
      <c r="I10" s="1004"/>
      <c r="J10" s="1010" t="s">
        <v>36</v>
      </c>
      <c r="K10" s="1013" t="s">
        <v>37</v>
      </c>
      <c r="L10" s="1016" t="s">
        <v>38</v>
      </c>
      <c r="M10" s="1019" t="str">
        <f>IF($E$6="DE","Zeichnungsnummer","Part drawing no")</f>
        <v>Part drawing no</v>
      </c>
      <c r="N10" s="1020"/>
      <c r="O10" s="1020"/>
      <c r="P10" s="961" t="s">
        <v>57</v>
      </c>
      <c r="Q10" s="746" t="str">
        <f>IF($E$6="DE","Werkstoff 1","Material 1")</f>
        <v>Material 1</v>
      </c>
      <c r="R10" s="738" t="str">
        <f>IF($E$6="DE","Streckgrenze Re 1","Yield strength Re 1")</f>
        <v>Yield strength Re 1</v>
      </c>
      <c r="S10" s="736" t="s">
        <v>58</v>
      </c>
      <c r="T10" s="746" t="str">
        <f>IF($E$6="DE","Werkstoff 2","Material 2")</f>
        <v>Material 2</v>
      </c>
      <c r="U10" s="738" t="str">
        <f>IF($E$6="DE","Streckgrenze Re 2","Yield strength Re 2")</f>
        <v>Yield strength Re 2</v>
      </c>
      <c r="V10" s="736" t="s">
        <v>59</v>
      </c>
      <c r="W10" s="746" t="str">
        <f>IF($E$6="DE","Werkstoff 3","Material 3")</f>
        <v>Material 3</v>
      </c>
      <c r="X10" s="738" t="str">
        <f>IF($E$6="DE","Streckgrenze Re 3","Yield strength Re 3")</f>
        <v>Yield strength Re 3</v>
      </c>
      <c r="Y10" s="765" t="str">
        <f>IF($E$6="DE","Klebstoff (J/N)","Adhesive (J=Yes /N=No)")</f>
        <v>Adhesive (J=Yes /N=No)</v>
      </c>
      <c r="Z10" s="740" t="str">
        <f>IF($E$6="DE","Vergleichsblechdicke tv","Ref. Thickness tv")</f>
        <v>Ref. Thickness tv</v>
      </c>
      <c r="AA10" s="762" t="str">
        <f>IF($E$6="DE","Zuschlag Streckgrenze ","Yield strength surcharge")</f>
        <v>Yield strength surcharge</v>
      </c>
      <c r="AB10" s="721" t="str">
        <f>IF($E$6="DE","Schweißkraft inkl. Klebstoff (Zangenauslegung)","Welding Force incl. Adhesive (Gun Calculation)")</f>
        <v>Welding Force incl. Adhesive (Gun Calculation)</v>
      </c>
      <c r="AC10" s="730" t="str">
        <f>IF($E$6="DE","Schweißstrom","Welding Current")</f>
        <v>Welding Current</v>
      </c>
      <c r="AD10" s="743" t="str">
        <f>IF($E$6="DE","Schweißzeit","Welding Time")</f>
        <v>Welding Time</v>
      </c>
      <c r="AE10" s="721" t="str">
        <f>IF($E$6="DE","Schweißkraft incl. Klebstoff u.  bei VW50066/TL4225- Material außen","Welding Force incl. adhesive and VW50066/TL4225-Material outside")</f>
        <v>Welding Force incl. adhesive and VW50066/TL4225-Material outside</v>
      </c>
      <c r="AF10" s="1048" t="str">
        <f>IF($E$6="DE","Linsendurchmesser dn min (Blech 1 - Blech 2)","Nuggetdiameter dn min (Sheet 1 - Sheet 2)")</f>
        <v>Nuggetdiameter dn min (Sheet 1 - Sheet 2)</v>
      </c>
      <c r="AG10" s="721" t="str">
        <f>IF($E$6="DE","Linsendurchmesser dn min (Blech 2 - Blech 3)","Nuggetdiameter dn min (Sheet 2 - Sheet 3)")</f>
        <v>Nuggetdiameter dn min (Sheet 2 - Sheet 3)</v>
      </c>
      <c r="AH10" s="1048" t="str">
        <f>IF($E$6="DE","Elektroden-kappen","Electrode Cap")</f>
        <v>Electrode Cap</v>
      </c>
      <c r="AI10" s="743" t="str">
        <f>IF($E$6="DE"," Arbeitsflächendurchm. für Elektrode an Blech 1 (AF1)","Electrode Tip Diameter                       on Sheet 1 (AF1)")</f>
        <v>Electrode Tip Diameter                       on Sheet 1 (AF1)</v>
      </c>
      <c r="AJ10" s="743" t="str">
        <f>IF($E$6="DE","Arbeitsflächenradius für Elektrode an Blech 1 (R1)","Electrode Tip Radius                    on Sheet 1 (R1)")</f>
        <v>Electrode Tip Radius                    on Sheet 1 (R1)</v>
      </c>
      <c r="AK10" s="718" t="str">
        <f>IF($E$6="DE","Arbeitsflächendurchm. für Elektrode an Blech 2/3 (AF2/3)","Electrode Tip Diameter                      on Sheet 2/3 (AF2/3)")</f>
        <v>Electrode Tip Diameter                      on Sheet 2/3 (AF2/3)</v>
      </c>
      <c r="AL10" s="793" t="str">
        <f>IF($E$6="DE","Arbeitsflächenradius für Elektrode an Blech 2/3 (R2/3)","Electrode Tip Radius                   on Sheet 2 (R2/3)")</f>
        <v>Electrode Tip Radius                   on Sheet 2 (R2/3)</v>
      </c>
      <c r="AM10" s="1066"/>
      <c r="AN10" s="1067"/>
      <c r="AO10" s="802" t="s">
        <v>1676</v>
      </c>
      <c r="AP10" s="799" t="s">
        <v>1677</v>
      </c>
      <c r="AQ10" s="799" t="s">
        <v>1678</v>
      </c>
      <c r="AR10" s="799" t="s">
        <v>1679</v>
      </c>
      <c r="AS10" s="799" t="s">
        <v>1680</v>
      </c>
      <c r="AT10" s="799" t="s">
        <v>1681</v>
      </c>
      <c r="AU10" s="799" t="s">
        <v>1682</v>
      </c>
      <c r="AV10" s="799" t="s">
        <v>1683</v>
      </c>
      <c r="AW10" s="799" t="s">
        <v>1684</v>
      </c>
      <c r="AX10" s="799" t="s">
        <v>1685</v>
      </c>
      <c r="AY10" s="799" t="s">
        <v>1912</v>
      </c>
      <c r="AZ10" s="799" t="s">
        <v>1913</v>
      </c>
      <c r="BA10" s="799" t="s">
        <v>1914</v>
      </c>
      <c r="BB10" s="799" t="s">
        <v>1915</v>
      </c>
      <c r="BC10" s="282"/>
      <c r="BD10" s="282"/>
      <c r="BE10" s="282"/>
      <c r="BF10" s="282"/>
    </row>
    <row r="11" spans="1:79" ht="21" customHeight="1">
      <c r="A11" s="797"/>
      <c r="B11" s="281"/>
      <c r="C11" s="992"/>
      <c r="D11" s="995"/>
      <c r="E11" s="998"/>
      <c r="F11" s="998"/>
      <c r="G11" s="998"/>
      <c r="H11" s="1001"/>
      <c r="I11" s="1004"/>
      <c r="J11" s="1011"/>
      <c r="K11" s="1014"/>
      <c r="L11" s="1017"/>
      <c r="M11" s="1021"/>
      <c r="N11" s="1022"/>
      <c r="O11" s="1022"/>
      <c r="P11" s="962"/>
      <c r="Q11" s="746"/>
      <c r="R11" s="738"/>
      <c r="S11" s="736"/>
      <c r="T11" s="746"/>
      <c r="U11" s="738"/>
      <c r="V11" s="736"/>
      <c r="W11" s="746"/>
      <c r="X11" s="738"/>
      <c r="Y11" s="765"/>
      <c r="Z11" s="741"/>
      <c r="AA11" s="763"/>
      <c r="AB11" s="722"/>
      <c r="AC11" s="731"/>
      <c r="AD11" s="744"/>
      <c r="AE11" s="722"/>
      <c r="AF11" s="1049"/>
      <c r="AG11" s="722"/>
      <c r="AH11" s="1049"/>
      <c r="AI11" s="744"/>
      <c r="AJ11" s="744"/>
      <c r="AK11" s="719"/>
      <c r="AL11" s="794"/>
      <c r="AM11" s="1066"/>
      <c r="AN11" s="1067"/>
      <c r="AO11" s="803"/>
      <c r="AP11" s="800"/>
      <c r="AQ11" s="800"/>
      <c r="AR11" s="800"/>
      <c r="AS11" s="800"/>
      <c r="AT11" s="800"/>
      <c r="AU11" s="800"/>
      <c r="AV11" s="800"/>
      <c r="AW11" s="800"/>
      <c r="AX11" s="800"/>
      <c r="AY11" s="800"/>
      <c r="AZ11" s="800"/>
      <c r="BA11" s="800"/>
      <c r="BB11" s="800"/>
      <c r="BC11" s="282"/>
      <c r="BD11" s="282"/>
      <c r="BE11" s="282"/>
      <c r="BF11" s="873" t="s">
        <v>1906</v>
      </c>
      <c r="BG11" s="872"/>
      <c r="BH11" s="859" t="s">
        <v>1134</v>
      </c>
      <c r="BI11" s="856" t="s">
        <v>1135</v>
      </c>
      <c r="BJ11" s="856" t="s">
        <v>1136</v>
      </c>
    </row>
    <row r="12" spans="1:79" ht="21" customHeight="1">
      <c r="A12" s="797"/>
      <c r="B12" s="281"/>
      <c r="C12" s="992"/>
      <c r="D12" s="995"/>
      <c r="E12" s="998"/>
      <c r="F12" s="998"/>
      <c r="G12" s="998"/>
      <c r="H12" s="1001"/>
      <c r="I12" s="1004"/>
      <c r="J12" s="1011"/>
      <c r="K12" s="1014"/>
      <c r="L12" s="1017"/>
      <c r="M12" s="1021"/>
      <c r="N12" s="1022"/>
      <c r="O12" s="1022"/>
      <c r="P12" s="962"/>
      <c r="Q12" s="746"/>
      <c r="R12" s="738"/>
      <c r="S12" s="736"/>
      <c r="T12" s="746"/>
      <c r="U12" s="738"/>
      <c r="V12" s="736"/>
      <c r="W12" s="746"/>
      <c r="X12" s="738"/>
      <c r="Y12" s="765"/>
      <c r="Z12" s="741"/>
      <c r="AA12" s="763"/>
      <c r="AB12" s="722"/>
      <c r="AC12" s="731"/>
      <c r="AD12" s="744"/>
      <c r="AE12" s="722"/>
      <c r="AF12" s="1049"/>
      <c r="AG12" s="722"/>
      <c r="AH12" s="1049"/>
      <c r="AI12" s="744"/>
      <c r="AJ12" s="744"/>
      <c r="AK12" s="719"/>
      <c r="AL12" s="794"/>
      <c r="AM12" s="1066"/>
      <c r="AN12" s="1067"/>
      <c r="AO12" s="803"/>
      <c r="AP12" s="800"/>
      <c r="AQ12" s="800"/>
      <c r="AR12" s="800"/>
      <c r="AS12" s="800"/>
      <c r="AT12" s="800"/>
      <c r="AU12" s="800"/>
      <c r="AV12" s="800"/>
      <c r="AW12" s="800"/>
      <c r="AX12" s="800"/>
      <c r="AY12" s="800"/>
      <c r="AZ12" s="800"/>
      <c r="BA12" s="800"/>
      <c r="BB12" s="800"/>
      <c r="BC12" s="282"/>
      <c r="BD12" s="282"/>
      <c r="BE12" s="282"/>
      <c r="BF12" s="873"/>
      <c r="BG12" s="872"/>
      <c r="BH12" s="859"/>
      <c r="BI12" s="857"/>
      <c r="BJ12" s="857"/>
      <c r="BN12" s="279" t="e">
        <f>MATCH(Q19,Materialliste!$A$1563:$A$1615,0)</f>
        <v>#N/A</v>
      </c>
    </row>
    <row r="13" spans="1:79" ht="21" customHeight="1">
      <c r="A13" s="797"/>
      <c r="B13" s="281"/>
      <c r="C13" s="992"/>
      <c r="D13" s="995"/>
      <c r="E13" s="998"/>
      <c r="F13" s="998"/>
      <c r="G13" s="998"/>
      <c r="H13" s="1001"/>
      <c r="I13" s="1004"/>
      <c r="J13" s="1011"/>
      <c r="K13" s="1014"/>
      <c r="L13" s="1017"/>
      <c r="M13" s="1021"/>
      <c r="N13" s="1022"/>
      <c r="O13" s="1022"/>
      <c r="P13" s="962"/>
      <c r="Q13" s="746"/>
      <c r="R13" s="738"/>
      <c r="S13" s="736"/>
      <c r="T13" s="746"/>
      <c r="U13" s="738"/>
      <c r="V13" s="736"/>
      <c r="W13" s="746"/>
      <c r="X13" s="738"/>
      <c r="Y13" s="765"/>
      <c r="Z13" s="741"/>
      <c r="AA13" s="763"/>
      <c r="AB13" s="722"/>
      <c r="AC13" s="731"/>
      <c r="AD13" s="744"/>
      <c r="AE13" s="722"/>
      <c r="AF13" s="1049"/>
      <c r="AG13" s="722"/>
      <c r="AH13" s="1049"/>
      <c r="AI13" s="744"/>
      <c r="AJ13" s="744"/>
      <c r="AK13" s="719"/>
      <c r="AL13" s="794"/>
      <c r="AM13" s="1066"/>
      <c r="AN13" s="1067"/>
      <c r="AO13" s="803"/>
      <c r="AP13" s="800"/>
      <c r="AQ13" s="800"/>
      <c r="AR13" s="800"/>
      <c r="AS13" s="800"/>
      <c r="AT13" s="800"/>
      <c r="AU13" s="800"/>
      <c r="AV13" s="800"/>
      <c r="AW13" s="800"/>
      <c r="AX13" s="800"/>
      <c r="AY13" s="800"/>
      <c r="AZ13" s="800"/>
      <c r="BA13" s="800"/>
      <c r="BB13" s="800"/>
      <c r="BC13" s="282"/>
      <c r="BD13" s="282"/>
      <c r="BE13" s="282"/>
      <c r="BF13" s="873"/>
      <c r="BG13" s="872"/>
      <c r="BH13" s="859"/>
      <c r="BI13" s="857"/>
      <c r="BJ13" s="857"/>
      <c r="BT13" s="279" t="s">
        <v>1726</v>
      </c>
    </row>
    <row r="14" spans="1:79" ht="21" customHeight="1">
      <c r="A14" s="797"/>
      <c r="B14" s="281"/>
      <c r="C14" s="992"/>
      <c r="D14" s="995"/>
      <c r="E14" s="998"/>
      <c r="F14" s="998"/>
      <c r="G14" s="998"/>
      <c r="H14" s="1001"/>
      <c r="I14" s="1004"/>
      <c r="J14" s="1011"/>
      <c r="K14" s="1014"/>
      <c r="L14" s="1017"/>
      <c r="M14" s="1021"/>
      <c r="N14" s="1022"/>
      <c r="O14" s="1022"/>
      <c r="P14" s="962"/>
      <c r="Q14" s="746"/>
      <c r="R14" s="738"/>
      <c r="S14" s="736"/>
      <c r="T14" s="746"/>
      <c r="U14" s="738"/>
      <c r="V14" s="736"/>
      <c r="W14" s="746"/>
      <c r="X14" s="738"/>
      <c r="Y14" s="765"/>
      <c r="Z14" s="741"/>
      <c r="AA14" s="763"/>
      <c r="AB14" s="722"/>
      <c r="AC14" s="731"/>
      <c r="AD14" s="744"/>
      <c r="AE14" s="722"/>
      <c r="AF14" s="1049"/>
      <c r="AG14" s="722"/>
      <c r="AH14" s="1049"/>
      <c r="AI14" s="744"/>
      <c r="AJ14" s="744"/>
      <c r="AK14" s="719"/>
      <c r="AL14" s="794"/>
      <c r="AM14" s="1066"/>
      <c r="AN14" s="1067"/>
      <c r="AO14" s="803"/>
      <c r="AP14" s="800"/>
      <c r="AQ14" s="800"/>
      <c r="AR14" s="800"/>
      <c r="AS14" s="800"/>
      <c r="AT14" s="800"/>
      <c r="AU14" s="800"/>
      <c r="AV14" s="800"/>
      <c r="AW14" s="800"/>
      <c r="AX14" s="800"/>
      <c r="AY14" s="800"/>
      <c r="AZ14" s="800"/>
      <c r="BA14" s="800"/>
      <c r="BB14" s="800"/>
      <c r="BC14" s="282"/>
      <c r="BD14" s="282"/>
      <c r="BE14" s="282"/>
      <c r="BF14" s="873"/>
      <c r="BG14" s="872"/>
      <c r="BH14" s="859"/>
      <c r="BI14" s="857"/>
      <c r="BJ14" s="857"/>
      <c r="BT14" s="279">
        <f>COUNTIF(BT19:BT43,"J")</f>
        <v>0</v>
      </c>
    </row>
    <row r="15" spans="1:79" ht="21" customHeight="1">
      <c r="A15" s="797"/>
      <c r="B15" s="281"/>
      <c r="C15" s="992"/>
      <c r="D15" s="995"/>
      <c r="E15" s="998"/>
      <c r="F15" s="998"/>
      <c r="G15" s="998"/>
      <c r="H15" s="1001"/>
      <c r="I15" s="1004"/>
      <c r="J15" s="1011"/>
      <c r="K15" s="1014"/>
      <c r="L15" s="1017"/>
      <c r="M15" s="1021"/>
      <c r="N15" s="1022"/>
      <c r="O15" s="1022"/>
      <c r="P15" s="962"/>
      <c r="Q15" s="746"/>
      <c r="R15" s="738"/>
      <c r="S15" s="736"/>
      <c r="T15" s="746"/>
      <c r="U15" s="738"/>
      <c r="V15" s="736"/>
      <c r="W15" s="746"/>
      <c r="X15" s="738"/>
      <c r="Y15" s="765"/>
      <c r="Z15" s="741"/>
      <c r="AA15" s="763"/>
      <c r="AB15" s="722"/>
      <c r="AC15" s="731"/>
      <c r="AD15" s="744"/>
      <c r="AE15" s="722"/>
      <c r="AF15" s="1049"/>
      <c r="AG15" s="722"/>
      <c r="AH15" s="1049"/>
      <c r="AI15" s="744"/>
      <c r="AJ15" s="744"/>
      <c r="AK15" s="719"/>
      <c r="AL15" s="794"/>
      <c r="AM15" s="1066"/>
      <c r="AN15" s="1067"/>
      <c r="AO15" s="803"/>
      <c r="AP15" s="800"/>
      <c r="AQ15" s="800"/>
      <c r="AR15" s="800"/>
      <c r="AS15" s="800"/>
      <c r="AT15" s="800"/>
      <c r="AU15" s="800"/>
      <c r="AV15" s="800"/>
      <c r="AW15" s="800"/>
      <c r="AX15" s="800"/>
      <c r="AY15" s="800"/>
      <c r="AZ15" s="800"/>
      <c r="BA15" s="800"/>
      <c r="BB15" s="800"/>
      <c r="BC15" s="282"/>
      <c r="BD15" s="282"/>
      <c r="BE15" s="282"/>
      <c r="BF15" s="873"/>
      <c r="BG15" s="872"/>
      <c r="BH15" s="859"/>
      <c r="BI15" s="857"/>
      <c r="BJ15" s="857"/>
    </row>
    <row r="16" spans="1:79" ht="21" customHeight="1">
      <c r="A16" s="797"/>
      <c r="B16" s="281"/>
      <c r="C16" s="992"/>
      <c r="D16" s="995"/>
      <c r="E16" s="998"/>
      <c r="F16" s="998"/>
      <c r="G16" s="998"/>
      <c r="H16" s="1001"/>
      <c r="I16" s="1004"/>
      <c r="J16" s="1011"/>
      <c r="K16" s="1014"/>
      <c r="L16" s="1017"/>
      <c r="M16" s="1021"/>
      <c r="N16" s="1022"/>
      <c r="O16" s="1022"/>
      <c r="P16" s="962"/>
      <c r="Q16" s="746"/>
      <c r="R16" s="738"/>
      <c r="S16" s="736"/>
      <c r="T16" s="746"/>
      <c r="U16" s="738"/>
      <c r="V16" s="736"/>
      <c r="W16" s="746"/>
      <c r="X16" s="738"/>
      <c r="Y16" s="765"/>
      <c r="Z16" s="741"/>
      <c r="AA16" s="763"/>
      <c r="AB16" s="722"/>
      <c r="AC16" s="731"/>
      <c r="AD16" s="744"/>
      <c r="AE16" s="722"/>
      <c r="AF16" s="1049"/>
      <c r="AG16" s="722"/>
      <c r="AH16" s="1049"/>
      <c r="AI16" s="744"/>
      <c r="AJ16" s="744"/>
      <c r="AK16" s="719"/>
      <c r="AL16" s="794"/>
      <c r="AM16" s="1066"/>
      <c r="AN16" s="1067"/>
      <c r="AO16" s="803"/>
      <c r="AP16" s="800"/>
      <c r="AQ16" s="800"/>
      <c r="AR16" s="800"/>
      <c r="AS16" s="800"/>
      <c r="AT16" s="800"/>
      <c r="AU16" s="800"/>
      <c r="AV16" s="800"/>
      <c r="AW16" s="800"/>
      <c r="AX16" s="800"/>
      <c r="AY16" s="800"/>
      <c r="AZ16" s="800"/>
      <c r="BA16" s="800"/>
      <c r="BB16" s="800"/>
      <c r="BC16" s="282"/>
      <c r="BD16" s="282"/>
      <c r="BE16" s="282"/>
      <c r="BF16" s="873"/>
      <c r="BG16" s="872"/>
      <c r="BH16" s="859"/>
      <c r="BI16" s="857"/>
      <c r="BJ16" s="857"/>
      <c r="BM16" s="297"/>
      <c r="BN16" s="297"/>
      <c r="BO16" s="297"/>
      <c r="BP16" s="297"/>
      <c r="BQ16" s="297"/>
      <c r="BR16" s="297"/>
      <c r="BS16" s="297"/>
      <c r="BT16" s="297"/>
      <c r="BU16" s="297"/>
      <c r="BV16" s="297"/>
      <c r="BW16" s="297"/>
      <c r="BX16" s="297"/>
      <c r="BY16" s="297"/>
      <c r="BZ16" s="297"/>
      <c r="CA16" s="297"/>
    </row>
    <row r="17" spans="1:90" ht="21" customHeight="1">
      <c r="A17" s="797"/>
      <c r="B17" s="281"/>
      <c r="C17" s="992"/>
      <c r="D17" s="995"/>
      <c r="E17" s="998"/>
      <c r="F17" s="998"/>
      <c r="G17" s="998"/>
      <c r="H17" s="1001"/>
      <c r="I17" s="1005"/>
      <c r="J17" s="1012"/>
      <c r="K17" s="1015"/>
      <c r="L17" s="1018"/>
      <c r="M17" s="1023"/>
      <c r="N17" s="1024"/>
      <c r="O17" s="1024"/>
      <c r="P17" s="962"/>
      <c r="Q17" s="747"/>
      <c r="R17" s="739"/>
      <c r="S17" s="737"/>
      <c r="T17" s="747"/>
      <c r="U17" s="739"/>
      <c r="V17" s="737"/>
      <c r="W17" s="747"/>
      <c r="X17" s="739"/>
      <c r="Y17" s="766"/>
      <c r="Z17" s="742"/>
      <c r="AA17" s="764"/>
      <c r="AB17" s="723"/>
      <c r="AC17" s="732"/>
      <c r="AD17" s="745"/>
      <c r="AE17" s="723"/>
      <c r="AF17" s="1050"/>
      <c r="AG17" s="723"/>
      <c r="AH17" s="1050"/>
      <c r="AI17" s="745"/>
      <c r="AJ17" s="745"/>
      <c r="AK17" s="720"/>
      <c r="AL17" s="795"/>
      <c r="AM17" s="1066"/>
      <c r="AN17" s="1067"/>
      <c r="AO17" s="803"/>
      <c r="AP17" s="800"/>
      <c r="AQ17" s="800"/>
      <c r="AR17" s="800"/>
      <c r="AS17" s="800"/>
      <c r="AT17" s="800"/>
      <c r="AU17" s="800"/>
      <c r="AV17" s="800"/>
      <c r="AW17" s="800"/>
      <c r="AX17" s="800"/>
      <c r="AY17" s="800"/>
      <c r="AZ17" s="800"/>
      <c r="BA17" s="800"/>
      <c r="BB17" s="800"/>
      <c r="BC17" s="282"/>
      <c r="BD17" s="282"/>
      <c r="BE17" s="282"/>
      <c r="BF17" s="873"/>
      <c r="BG17" s="872"/>
      <c r="BH17" s="859"/>
      <c r="BI17" s="857"/>
      <c r="BJ17" s="857"/>
      <c r="BM17" s="297"/>
      <c r="BN17" s="297"/>
      <c r="BO17" s="297"/>
      <c r="BP17" s="297"/>
      <c r="BQ17" s="297"/>
      <c r="BR17" s="297"/>
      <c r="BS17" s="298" t="s">
        <v>1672</v>
      </c>
      <c r="BT17" s="298" t="s">
        <v>1719</v>
      </c>
      <c r="BU17" s="298" t="s">
        <v>39</v>
      </c>
      <c r="BV17" s="298" t="s">
        <v>61</v>
      </c>
      <c r="BW17" s="298" t="s">
        <v>69</v>
      </c>
      <c r="BX17" s="298" t="s">
        <v>64</v>
      </c>
      <c r="BY17" s="298" t="s">
        <v>63</v>
      </c>
      <c r="BZ17" s="298" t="s">
        <v>65</v>
      </c>
      <c r="CA17" s="299" t="s">
        <v>67</v>
      </c>
    </row>
    <row r="18" spans="1:90" ht="53.25" customHeight="1" thickBot="1">
      <c r="A18" s="797"/>
      <c r="B18" s="281"/>
      <c r="C18" s="993"/>
      <c r="D18" s="996"/>
      <c r="E18" s="999"/>
      <c r="F18" s="999"/>
      <c r="G18" s="999"/>
      <c r="H18" s="1002"/>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1718</v>
      </c>
      <c r="AB18" s="449" t="s">
        <v>1715</v>
      </c>
      <c r="AC18" s="452" t="s">
        <v>1270</v>
      </c>
      <c r="AD18" s="303" t="s">
        <v>1271</v>
      </c>
      <c r="AE18" s="304" t="s">
        <v>1716</v>
      </c>
      <c r="AF18" s="455" t="s">
        <v>41</v>
      </c>
      <c r="AG18" s="456" t="s">
        <v>41</v>
      </c>
      <c r="AH18" s="441"/>
      <c r="AI18" s="457" t="s">
        <v>41</v>
      </c>
      <c r="AJ18" s="457" t="s">
        <v>41</v>
      </c>
      <c r="AK18" s="457" t="s">
        <v>41</v>
      </c>
      <c r="AL18" s="458" t="s">
        <v>41</v>
      </c>
      <c r="AM18" s="1068"/>
      <c r="AN18" s="1069"/>
      <c r="AO18" s="804"/>
      <c r="AP18" s="801"/>
      <c r="AQ18" s="801"/>
      <c r="AR18" s="801"/>
      <c r="AS18" s="801"/>
      <c r="AT18" s="801"/>
      <c r="AU18" s="801"/>
      <c r="AV18" s="801"/>
      <c r="AW18" s="801"/>
      <c r="AX18" s="801"/>
      <c r="AY18" s="801"/>
      <c r="AZ18" s="801"/>
      <c r="BA18" s="801"/>
      <c r="BB18" s="801"/>
      <c r="BC18" s="282"/>
      <c r="BD18" s="282"/>
      <c r="BE18" s="282"/>
      <c r="BF18" s="873"/>
      <c r="BG18" s="872"/>
      <c r="BH18" s="859"/>
      <c r="BI18" s="858"/>
      <c r="BJ18" s="858"/>
      <c r="BM18" s="751" t="s">
        <v>1751</v>
      </c>
      <c r="BN18" s="751"/>
      <c r="BO18" s="751"/>
      <c r="BP18" s="751"/>
      <c r="BQ18" s="751"/>
      <c r="BR18" s="297"/>
      <c r="BS18" s="298" t="s">
        <v>1673</v>
      </c>
      <c r="BT18" s="440" t="s">
        <v>1720</v>
      </c>
      <c r="BU18" s="298" t="s">
        <v>68</v>
      </c>
      <c r="BV18" s="305">
        <v>-0.3</v>
      </c>
      <c r="BW18" s="305" t="s">
        <v>70</v>
      </c>
      <c r="BX18" s="298" t="s">
        <v>62</v>
      </c>
      <c r="BY18" s="298" t="s">
        <v>62</v>
      </c>
      <c r="BZ18" s="298" t="s">
        <v>66</v>
      </c>
      <c r="CA18" s="299" t="s">
        <v>84</v>
      </c>
      <c r="CH18" s="306" t="s">
        <v>1279</v>
      </c>
      <c r="CL18" s="306" t="s">
        <v>1280</v>
      </c>
    </row>
    <row r="19" spans="1:90" ht="33" customHeight="1">
      <c r="A19" s="797"/>
      <c r="B19" s="281"/>
      <c r="C19" s="307">
        <v>7.1150099999999998</v>
      </c>
      <c r="D19" s="308" t="s">
        <v>1930</v>
      </c>
      <c r="E19" s="309" t="s">
        <v>1188</v>
      </c>
      <c r="F19" s="310" t="s">
        <v>1931</v>
      </c>
      <c r="G19" s="336" t="s">
        <v>1671</v>
      </c>
      <c r="H19" s="311" t="s">
        <v>1932</v>
      </c>
      <c r="I19" s="478" t="s">
        <v>1188</v>
      </c>
      <c r="J19" s="312">
        <v>61.8</v>
      </c>
      <c r="K19" s="313">
        <v>412</v>
      </c>
      <c r="L19" s="314">
        <v>86.7</v>
      </c>
      <c r="M19" s="315" t="s">
        <v>1933</v>
      </c>
      <c r="N19" s="316" t="s">
        <v>1934</v>
      </c>
      <c r="O19" s="317" t="s">
        <v>1935</v>
      </c>
      <c r="P19" s="502">
        <v>2</v>
      </c>
      <c r="Q19" s="320" t="s">
        <v>1129</v>
      </c>
      <c r="R19" s="318">
        <f>IF(AND(ISBLANK(P19),ISTEXT(Q19)),"t1?",IF(AND(ISBLANK(Q19),ISBLANK(P19)),"",VLOOKUP(BH19,Materialliste!$A$2:$B$1615,2,FALSE)))</f>
        <v>1250</v>
      </c>
      <c r="S19" s="319">
        <v>2.1</v>
      </c>
      <c r="T19" s="320" t="s">
        <v>1129</v>
      </c>
      <c r="U19" s="318">
        <f>IF(AND(ISBLANK(S19),ISTEXT(T19)),"t2?",IF(AND(ISBLANK(T19),ISBLANK(S19)),"",VLOOKUP(BI19,Materialliste!$A$2:$B$1615,2,FALSE)))</f>
        <v>1250</v>
      </c>
      <c r="V19" s="319">
        <v>3</v>
      </c>
      <c r="W19" s="320" t="s">
        <v>600</v>
      </c>
      <c r="X19" s="321">
        <f>IF(AND(ISBLANK(V19),ISTEXT(W19)),"t3?",IF(AND(ISBLANK(W19),ISBLANK(V19)),"",VLOOKUP(BJ19,Materialliste!$A$2:$B$1615,2,FALSE)))</f>
        <v>350</v>
      </c>
      <c r="Y19" s="442" t="s">
        <v>1926</v>
      </c>
      <c r="Z19" s="453">
        <f t="shared" ref="Z19:Z43" si="0">IF($E$6="DE",IF(P19*S19&gt;0,0.8*BN19+0.2*BM19,"BLECH?"),IF(P19*S19&gt;0,0.8*BN19+0.2*BM19,"Sheet?"))</f>
        <v>2.2800000000000002</v>
      </c>
      <c r="AA19" s="446">
        <f>IF(AND(ISNUMBER(R19),ISNUMBER(U19)),IF(ISTEXT(X19),(R19+U19)/(220*3*10)+0.9,(R19+U19+X19)/(220*3*10)+0.9),"?Re")</f>
        <v>1.3318181818181818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5.5797818181818188</v>
      </c>
      <c r="AC19" s="322">
        <f>IF(AND(BT19="J",OR(G19="C",G19="X")),39,IF(AND(BT19="N",OR(G19="C",G19="X")),IF(Z19="BLECH?","",IF(AND(BX19=TRUE,BZ19=TRUE),IF(Z19&lt;=2,((1.13*Z19+7.1+BY19)+(1.13*Z19+7.1+CA19))/2*BW19,((1.5*Z19+5.8+BY19)+(1.5*Z19+5.8+CA19))/2*BW19),IF(Z19&lt;=2,(1.13*Z19+7.1+BY19+CA19)*BW19,(1.5*Z19+5.8+BY19+CA19)*BW19))),IF(OR(G19="B",G19="S"),6,IF(G19="R",7,IF(AND(G19="M",BT19="N"),4.3,IF(AND(G19="M",BT19="J"),"21",""))))))</f>
        <v>7.2420000000000009</v>
      </c>
      <c r="AD19" s="323">
        <f t="shared" ref="AD19:AD25" si="1">IF(OR(ISBLANK(G19),Z19="BLECH?"),"",IF(AND(BT19="J",G19="C"),60,IF(G19="B",60,IF(G19="R",150,IF(G19="S",90,IF(AND(G19="m",BT19="n"),350,IF(AND(G19="m",BT19="j"),50,MAX(MIN((((P19+S19+V19-1.4)*(600/4.6))+200)+BU19,900),200))))))))</f>
        <v>900</v>
      </c>
      <c r="AE19" s="324">
        <f>IF(AND(BT19="J",OR(G19="C",G19="X")),AB19*1,IF(OR(G19="C",G19="X"),AB19*BV19,IF(ISBLANK(G19),AB19,AB19*1)))</f>
        <v>3.9058472727272728</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f>IF(V19&gt;0,(IF(G19="S",(IF($E$6="DE","siehe. Zeichn.", "as per drawing")),IF(OR(AND(G19="M",BT19="N"),G19="B"),1.6,IF(AND(G19="M",BT19="J"),2.5,IF(AND(G19="C",BT19="J",Y19="N",OR(S19&gt;=1.5,V19&gt;=1.5)),5*SQRT(MIN(S19,V19)),IF(AND(G19="C",BT19="J",Y19="N",S19&lt;1.5,V19&lt;1.5),4*SQRT(MIN(S19,V19)),IF(AND(G19="C",BT19="J",Y19="J",V19&gt;0),(IF($E$6="DE","siehe. Zeichn.", "as per drawing")),3.5*SQRT(MIN(S19,V19))))))))),"")</f>
        <v>5.0719818611663037</v>
      </c>
      <c r="AH19" s="461" t="str">
        <f t="shared" ref="AH19:AH43" si="2">IF(AND($AN$45="Ja",ISTEXT($AG$47),ISNUMBER($AL$47)),CL19,CH19)</f>
        <v>39D 1979-2 !</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3"/>
      <c r="AN19" s="784"/>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TL 4225-AS30/30</v>
      </c>
      <c r="BJ19" s="473" t="str">
        <f t="shared" ref="BJ19:BJ43" si="5">IF(OR((RIGHT(W19,3)="U-O"),(RIGHT(W19,3)="E-O"),(RIGHT(W19,3)="U-P"),(RIGHT(W19,3)="E-P")),LEFT(W19,LEN(W19)-4),(IF(OR((RIGHT(W19,1)="U"),(RIGHT(W19,1)="E"),(RIGHT(W19,1)="O"),(RIGHT(W19,1)="P")),LEFT(W19,LEN(W19)-2),W19)))</f>
        <v>CR270LA-EG12/12</v>
      </c>
      <c r="BM19" s="474">
        <f t="shared" ref="BM19:BM43" si="6">MAX(P19,S19,V19)</f>
        <v>3</v>
      </c>
      <c r="BN19" s="475">
        <f>LARGE(BO19:BQ19,2)</f>
        <v>2.1</v>
      </c>
      <c r="BO19" s="474">
        <f t="shared" ref="BO19:BO43" si="7">P19</f>
        <v>2</v>
      </c>
      <c r="BP19" s="474">
        <f t="shared" ref="BP19:BP43" si="8">S19</f>
        <v>2.1</v>
      </c>
      <c r="BQ19" s="474">
        <f t="shared" ref="BQ19:BQ43" si="9">V19</f>
        <v>3</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1979-2 !</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7"/>
      <c r="B20" s="281"/>
      <c r="C20" s="332">
        <v>7.1150200000000003</v>
      </c>
      <c r="D20" s="333" t="s">
        <v>1936</v>
      </c>
      <c r="E20" s="334" t="s">
        <v>1188</v>
      </c>
      <c r="F20" s="335" t="s">
        <v>1931</v>
      </c>
      <c r="G20" s="336" t="s">
        <v>1671</v>
      </c>
      <c r="H20" s="337" t="s">
        <v>1932</v>
      </c>
      <c r="I20" s="479" t="s">
        <v>1188</v>
      </c>
      <c r="J20" s="338">
        <v>-70.78</v>
      </c>
      <c r="K20" s="339">
        <v>426.63</v>
      </c>
      <c r="L20" s="340">
        <v>179.96</v>
      </c>
      <c r="M20" s="341" t="s">
        <v>1934</v>
      </c>
      <c r="N20" s="342" t="s">
        <v>1935</v>
      </c>
      <c r="O20" s="343" t="s">
        <v>1188</v>
      </c>
      <c r="P20" s="319">
        <v>2.1</v>
      </c>
      <c r="Q20" s="320" t="s">
        <v>1129</v>
      </c>
      <c r="R20" s="344">
        <f>IF(AND(ISBLANK(P20),ISTEXT(Q20)),"t1?",IF(AND(ISBLANK(Q20),ISBLANK(P20)),"",VLOOKUP(BH20,Materialliste!$A$2:$B$1615,2,FALSE)))</f>
        <v>1250</v>
      </c>
      <c r="S20" s="319">
        <v>3</v>
      </c>
      <c r="T20" s="320" t="s">
        <v>600</v>
      </c>
      <c r="U20" s="345">
        <f>IF(AND(ISBLANK(S20),ISTEXT(T20)),"t2?",IF(AND(ISBLANK(T20),ISBLANK(S20)),"",VLOOKUP(BI20,Materialliste!$A$2:$B$1615,2,FALSE)))</f>
        <v>350</v>
      </c>
      <c r="V20" s="319"/>
      <c r="W20" s="320"/>
      <c r="X20" s="345" t="str">
        <f>IF(AND(ISBLANK(V20),ISTEXT(W20)),"t3?",IF(AND(ISBLANK(W20),ISBLANK(V20)),"",VLOOKUP(BJ20,Materialliste!$A$2:$B$1615,2,FALSE)))</f>
        <v/>
      </c>
      <c r="Y20" s="443" t="s">
        <v>1926</v>
      </c>
      <c r="Z20" s="346">
        <f t="shared" si="0"/>
        <v>2.2800000000000002</v>
      </c>
      <c r="AA20" s="347">
        <f t="shared" ref="AA20:AA43" si="11">IF(AND(ISNUMBER(R20),ISNUMBER(U20)),IF(ISTEXT(X20),(R20+U20)/(220*3*10)+0.9,(R20+U20+X20)/(220*3*10)+0.9),"?Re")</f>
        <v>1.1424242424242426</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4.8858424242424254</v>
      </c>
      <c r="AC20" s="348">
        <f t="shared" ref="AC20:AC43" si="13">IF(AND(BT20="J",OR(G20="C",G20="X")),39,IF(OR(G20="C",G20="X"),IF(Z20="BLECH?","",IF(AND(BX20=TRUE,BZ20=TRUE),IF(Z20&lt;=2,((1.13*Z20+7.1+BY20)+(1.13*Z20+7.1+CA20))/2*BW20,((1.5*Z20+5.8+BY20)+(1.5*Z20+5.8+CA20))/2*BW20),IF(Z20&lt;=2,(1.13*Z20+7.1+BY20+CA20)*BW20,(1.5*Z20+5.8+BY20+CA20)*BW20))),IF(OR(G20="B",G20="S"),6,IF(G20="R",7,IF(AND(G20="M",BT20="N"),4.3,IF(AND(G20="M",BT20="J"),"21",""))))))</f>
        <v>7.2420000000000009</v>
      </c>
      <c r="AD20" s="323">
        <f t="shared" si="1"/>
        <v>900</v>
      </c>
      <c r="AE20" s="349">
        <f t="shared" ref="AE20:AE43" si="14">IF(AND(BT20="J",OR(G20="C",G20="X")),AB20*1,IF(OR(G20="C",G20="X"),AB20*BV20,IF(ISBLANK(G20),AB20,AB20*1)))</f>
        <v>3.4200896969696974</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5.0719818611663037</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1"/>
      <c r="AN20" s="692"/>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CR270LA-EG12/12</v>
      </c>
      <c r="BJ20" s="473">
        <f t="shared" si="5"/>
        <v>0</v>
      </c>
      <c r="BM20" s="474">
        <f t="shared" si="6"/>
        <v>3</v>
      </c>
      <c r="BN20" s="475">
        <f t="shared" ref="BN20:BN43" si="22">LARGE(BO20:BQ20,2)</f>
        <v>2.1</v>
      </c>
      <c r="BO20" s="474">
        <f t="shared" si="7"/>
        <v>2.1</v>
      </c>
      <c r="BP20" s="474">
        <f t="shared" si="8"/>
        <v>3</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7"/>
      <c r="B21" s="281"/>
      <c r="C21" s="332">
        <v>7.11503</v>
      </c>
      <c r="D21" s="333" t="s">
        <v>1937</v>
      </c>
      <c r="E21" s="334" t="s">
        <v>1188</v>
      </c>
      <c r="F21" s="335" t="s">
        <v>1931</v>
      </c>
      <c r="G21" s="336" t="s">
        <v>1671</v>
      </c>
      <c r="H21" s="337" t="s">
        <v>1932</v>
      </c>
      <c r="I21" s="479" t="s">
        <v>1188</v>
      </c>
      <c r="J21" s="338">
        <v>76.33</v>
      </c>
      <c r="K21" s="339">
        <v>388.94</v>
      </c>
      <c r="L21" s="340">
        <v>118.4</v>
      </c>
      <c r="M21" s="341" t="s">
        <v>1933</v>
      </c>
      <c r="N21" s="342" t="s">
        <v>1934</v>
      </c>
      <c r="O21" s="343" t="s">
        <v>1935</v>
      </c>
      <c r="P21" s="319">
        <v>2</v>
      </c>
      <c r="Q21" s="320" t="s">
        <v>1129</v>
      </c>
      <c r="R21" s="355">
        <f>IF(AND(ISBLANK(P21),ISTEXT(Q21)),"t1?",IF(AND(ISBLANK(Q21),ISBLANK(P21)),"",VLOOKUP(BH21,Materialliste!$A$2:$B$1615,2,FALSE)))</f>
        <v>1250</v>
      </c>
      <c r="S21" s="319">
        <v>2.1</v>
      </c>
      <c r="T21" s="320" t="s">
        <v>1129</v>
      </c>
      <c r="U21" s="355">
        <f>IF(AND(ISBLANK(S21),ISTEXT(T21)),"t2?",IF(AND(ISBLANK(T21),ISBLANK(S21)),"",VLOOKUP(BI21,Materialliste!$A$2:$B$1615,2,FALSE)))</f>
        <v>1250</v>
      </c>
      <c r="V21" s="319">
        <v>3</v>
      </c>
      <c r="W21" s="320" t="s">
        <v>600</v>
      </c>
      <c r="X21" s="355">
        <f>IF(AND(ISBLANK(V21),ISTEXT(W21)),"t3?",IF(AND(ISBLANK(W21),ISBLANK(V21)),"",VLOOKUP(BJ21,Materialliste!$A$2:$B$1615,2,FALSE)))</f>
        <v>350</v>
      </c>
      <c r="Y21" s="443" t="s">
        <v>1926</v>
      </c>
      <c r="Z21" s="346">
        <f t="shared" si="0"/>
        <v>2.2800000000000002</v>
      </c>
      <c r="AA21" s="347">
        <f t="shared" si="11"/>
        <v>1.3318181818181818</v>
      </c>
      <c r="AB21" s="454">
        <f t="shared" si="12"/>
        <v>5.5797818181818188</v>
      </c>
      <c r="AC21" s="348">
        <f t="shared" si="13"/>
        <v>7.2420000000000009</v>
      </c>
      <c r="AD21" s="323">
        <f t="shared" si="1"/>
        <v>900</v>
      </c>
      <c r="AE21" s="349">
        <f t="shared" si="14"/>
        <v>3.9058472727272728</v>
      </c>
      <c r="AF21" s="480">
        <f t="shared" si="15"/>
        <v>4.9497474683058327</v>
      </c>
      <c r="AG21" s="482">
        <f t="shared" si="16"/>
        <v>5.0719818611663037</v>
      </c>
      <c r="AH21" s="461" t="str">
        <f t="shared" si="2"/>
        <v>39D 1979-2 !</v>
      </c>
      <c r="AI21" s="350">
        <f t="shared" si="17"/>
        <v>8</v>
      </c>
      <c r="AJ21" s="350">
        <f t="shared" si="18"/>
        <v>50</v>
      </c>
      <c r="AK21" s="350">
        <f t="shared" si="19"/>
        <v>8</v>
      </c>
      <c r="AL21" s="351">
        <f t="shared" si="20"/>
        <v>50</v>
      </c>
      <c r="AM21" s="691"/>
      <c r="AN21" s="692"/>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TL 4225-AS30/30</v>
      </c>
      <c r="BJ21" s="473" t="str">
        <f t="shared" si="5"/>
        <v>CR270LA-EG12/12</v>
      </c>
      <c r="BM21" s="474">
        <f t="shared" si="6"/>
        <v>3</v>
      </c>
      <c r="BN21" s="475">
        <f t="shared" si="22"/>
        <v>2.1</v>
      </c>
      <c r="BO21" s="474">
        <f t="shared" si="7"/>
        <v>2</v>
      </c>
      <c r="BP21" s="474">
        <f t="shared" si="8"/>
        <v>2.1</v>
      </c>
      <c r="BQ21" s="474">
        <f t="shared" si="9"/>
        <v>3</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1979-2 !</v>
      </c>
      <c r="CL21" s="306" t="str">
        <f t="shared" si="31"/>
        <v>39D 1978-2</v>
      </c>
    </row>
    <row r="22" spans="1:90" ht="33" customHeight="1">
      <c r="A22" s="797"/>
      <c r="B22" s="281"/>
      <c r="C22" s="332">
        <v>7.1150399999999996</v>
      </c>
      <c r="D22" s="333" t="s">
        <v>1938</v>
      </c>
      <c r="E22" s="334" t="s">
        <v>1188</v>
      </c>
      <c r="F22" s="335" t="s">
        <v>1931</v>
      </c>
      <c r="G22" s="336" t="s">
        <v>1671</v>
      </c>
      <c r="H22" s="337" t="s">
        <v>1932</v>
      </c>
      <c r="I22" s="479" t="s">
        <v>1188</v>
      </c>
      <c r="J22" s="338">
        <v>146.15</v>
      </c>
      <c r="K22" s="339">
        <v>382.7</v>
      </c>
      <c r="L22" s="340">
        <v>79.77</v>
      </c>
      <c r="M22" s="341" t="s">
        <v>1934</v>
      </c>
      <c r="N22" s="342" t="s">
        <v>1933</v>
      </c>
      <c r="O22" s="343" t="s">
        <v>1188</v>
      </c>
      <c r="P22" s="319">
        <v>2.1</v>
      </c>
      <c r="Q22" s="320" t="s">
        <v>1129</v>
      </c>
      <c r="R22" s="355">
        <f>IF(AND(ISBLANK(P22),ISTEXT(Q22)),"t1?",IF(AND(ISBLANK(Q22),ISBLANK(P22)),"",VLOOKUP(BH22,Materialliste!$A$2:$B$1615,2,FALSE)))</f>
        <v>1250</v>
      </c>
      <c r="S22" s="319">
        <v>2</v>
      </c>
      <c r="T22" s="320" t="s">
        <v>1129</v>
      </c>
      <c r="U22" s="355">
        <f>IF(AND(ISBLANK(S22),ISTEXT(T22)),"t2?",IF(AND(ISBLANK(T22),ISBLANK(S22)),"",VLOOKUP(BI22,Materialliste!$A$2:$B$1615,2,FALSE)))</f>
        <v>1250</v>
      </c>
      <c r="V22" s="319"/>
      <c r="W22" s="356"/>
      <c r="X22" s="355" t="str">
        <f>IF(AND(ISBLANK(V22),ISTEXT(W22)),"t3?",IF(AND(ISBLANK(W22),ISBLANK(V22)),"",VLOOKUP(BJ22,Materialliste!$A$2:$B$1615,2,FALSE)))</f>
        <v/>
      </c>
      <c r="Y22" s="443" t="s">
        <v>1926</v>
      </c>
      <c r="Z22" s="346">
        <f t="shared" si="0"/>
        <v>2.02</v>
      </c>
      <c r="AA22" s="347">
        <f t="shared" si="11"/>
        <v>1.2787878787878788</v>
      </c>
      <c r="AB22" s="454">
        <f t="shared" si="12"/>
        <v>4.9532484848484861</v>
      </c>
      <c r="AC22" s="348">
        <f t="shared" si="13"/>
        <v>6.9105000000000008</v>
      </c>
      <c r="AD22" s="323">
        <f t="shared" si="1"/>
        <v>852.17391304347825</v>
      </c>
      <c r="AE22" s="349">
        <f t="shared" si="14"/>
        <v>3.46727393939394</v>
      </c>
      <c r="AF22" s="480">
        <f t="shared" si="15"/>
        <v>4.9497474683058327</v>
      </c>
      <c r="AG22" s="482" t="str">
        <f t="shared" si="16"/>
        <v/>
      </c>
      <c r="AH22" s="461" t="str">
        <f t="shared" si="2"/>
        <v>39D 1978-2</v>
      </c>
      <c r="AI22" s="350">
        <f t="shared" si="17"/>
        <v>8</v>
      </c>
      <c r="AJ22" s="350">
        <f t="shared" si="18"/>
        <v>50</v>
      </c>
      <c r="AK22" s="350">
        <f t="shared" si="19"/>
        <v>8</v>
      </c>
      <c r="AL22" s="351">
        <f t="shared" si="20"/>
        <v>50</v>
      </c>
      <c r="AM22" s="691"/>
      <c r="AN22" s="692"/>
      <c r="AO22" s="352"/>
      <c r="AP22" s="504"/>
      <c r="AQ22" s="353"/>
      <c r="AR22" s="353"/>
      <c r="AS22" s="353"/>
      <c r="AT22" s="353"/>
      <c r="AU22" s="353"/>
      <c r="AV22" s="353"/>
      <c r="AW22" s="353"/>
      <c r="AX22" s="353"/>
      <c r="AY22" s="353"/>
      <c r="AZ22" s="353"/>
      <c r="BA22" s="353"/>
      <c r="BB22" s="354"/>
      <c r="BC22" s="282"/>
      <c r="BE22" s="282"/>
      <c r="BF22" s="353" t="str">
        <f t="shared" si="21"/>
        <v>Ja</v>
      </c>
      <c r="BH22" s="473" t="str">
        <f t="shared" si="3"/>
        <v>TL 4225-AS30/30</v>
      </c>
      <c r="BI22" s="473" t="str">
        <f t="shared" si="4"/>
        <v>TL 4225-AS30/30</v>
      </c>
      <c r="BJ22" s="473">
        <f t="shared" si="5"/>
        <v>0</v>
      </c>
      <c r="BM22" s="474">
        <f t="shared" si="6"/>
        <v>2.1</v>
      </c>
      <c r="BN22" s="475">
        <f t="shared" si="22"/>
        <v>2</v>
      </c>
      <c r="BO22" s="474">
        <f t="shared" si="7"/>
        <v>2.1</v>
      </c>
      <c r="BP22" s="474">
        <f t="shared" si="8"/>
        <v>2</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7"/>
      <c r="B23" s="281"/>
      <c r="C23" s="332">
        <v>7.1150500000000001</v>
      </c>
      <c r="D23" s="333" t="s">
        <v>1939</v>
      </c>
      <c r="E23" s="334" t="s">
        <v>1188</v>
      </c>
      <c r="F23" s="335" t="s">
        <v>1931</v>
      </c>
      <c r="G23" s="336" t="s">
        <v>1671</v>
      </c>
      <c r="H23" s="337" t="s">
        <v>1932</v>
      </c>
      <c r="I23" s="479" t="s">
        <v>1188</v>
      </c>
      <c r="J23" s="338">
        <v>137.31</v>
      </c>
      <c r="K23" s="339">
        <v>386.58</v>
      </c>
      <c r="L23" s="340">
        <v>57.25</v>
      </c>
      <c r="M23" s="342" t="s">
        <v>1934</v>
      </c>
      <c r="N23" s="342" t="s">
        <v>1933</v>
      </c>
      <c r="O23" s="342" t="s">
        <v>1188</v>
      </c>
      <c r="P23" s="319">
        <v>2.1</v>
      </c>
      <c r="Q23" s="320" t="s">
        <v>1129</v>
      </c>
      <c r="R23" s="355">
        <f>IF(AND(ISBLANK(P23),ISTEXT(Q23)),"t1?",IF(AND(ISBLANK(Q23),ISBLANK(P23)),"",VLOOKUP(BH23,Materialliste!$A$2:$B$1615,2,FALSE)))</f>
        <v>1250</v>
      </c>
      <c r="S23" s="319">
        <v>2</v>
      </c>
      <c r="T23" s="320" t="s">
        <v>1129</v>
      </c>
      <c r="U23" s="355">
        <f>IF(AND(ISBLANK(S23),ISTEXT(T23)),"t2?",IF(AND(ISBLANK(T23),ISBLANK(S23)),"",VLOOKUP(BI23,Materialliste!$A$2:$B$1615,2,FALSE)))</f>
        <v>1250</v>
      </c>
      <c r="V23" s="319"/>
      <c r="W23" s="320"/>
      <c r="X23" s="355" t="str">
        <f>IF(AND(ISBLANK(V23),ISTEXT(W23)),"t3?",IF(AND(ISBLANK(W23),ISBLANK(V23)),"",VLOOKUP(BJ23,Materialliste!$A$2:$B$1615,2,FALSE)))</f>
        <v/>
      </c>
      <c r="Y23" s="443" t="s">
        <v>1926</v>
      </c>
      <c r="Z23" s="346">
        <f t="shared" si="0"/>
        <v>2.02</v>
      </c>
      <c r="AA23" s="347">
        <f t="shared" si="11"/>
        <v>1.2787878787878788</v>
      </c>
      <c r="AB23" s="454">
        <f t="shared" si="12"/>
        <v>4.9532484848484861</v>
      </c>
      <c r="AC23" s="348">
        <f t="shared" si="13"/>
        <v>6.9105000000000008</v>
      </c>
      <c r="AD23" s="323">
        <f t="shared" si="1"/>
        <v>852.17391304347825</v>
      </c>
      <c r="AE23" s="349">
        <f t="shared" si="14"/>
        <v>3.46727393939394</v>
      </c>
      <c r="AF23" s="480">
        <f t="shared" si="15"/>
        <v>4.9497474683058327</v>
      </c>
      <c r="AG23" s="482" t="str">
        <f t="shared" si="16"/>
        <v/>
      </c>
      <c r="AH23" s="461" t="str">
        <f t="shared" si="2"/>
        <v>39D 1978-2</v>
      </c>
      <c r="AI23" s="350">
        <f t="shared" si="17"/>
        <v>8</v>
      </c>
      <c r="AJ23" s="350">
        <f t="shared" si="18"/>
        <v>50</v>
      </c>
      <c r="AK23" s="350">
        <f t="shared" si="19"/>
        <v>8</v>
      </c>
      <c r="AL23" s="351">
        <f t="shared" si="20"/>
        <v>50</v>
      </c>
      <c r="AM23" s="691"/>
      <c r="AN23" s="692"/>
      <c r="AO23" s="352"/>
      <c r="AP23" s="504"/>
      <c r="AQ23" s="353"/>
      <c r="AR23" s="353"/>
      <c r="AS23" s="353"/>
      <c r="AT23" s="353"/>
      <c r="AU23" s="353"/>
      <c r="AV23" s="353"/>
      <c r="AW23" s="353"/>
      <c r="AX23" s="353"/>
      <c r="AY23" s="353"/>
      <c r="AZ23" s="353"/>
      <c r="BA23" s="353"/>
      <c r="BB23" s="354"/>
      <c r="BC23" s="282"/>
      <c r="BE23" s="282"/>
      <c r="BF23" s="353" t="str">
        <f t="shared" si="21"/>
        <v>Ja</v>
      </c>
      <c r="BH23" s="473" t="str">
        <f t="shared" si="3"/>
        <v>TL 4225-AS30/30</v>
      </c>
      <c r="BI23" s="473" t="str">
        <f t="shared" si="4"/>
        <v>TL 4225-AS30/30</v>
      </c>
      <c r="BJ23" s="473">
        <f t="shared" si="5"/>
        <v>0</v>
      </c>
      <c r="BM23" s="474">
        <f t="shared" si="6"/>
        <v>2.1</v>
      </c>
      <c r="BN23" s="475">
        <f>LARGE(BO23:BQ23,2)</f>
        <v>2</v>
      </c>
      <c r="BO23" s="474">
        <f t="shared" si="7"/>
        <v>2.1</v>
      </c>
      <c r="BP23" s="474">
        <f t="shared" si="8"/>
        <v>2</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7"/>
      <c r="B24" s="281"/>
      <c r="C24" s="332">
        <v>7.1150599999999997</v>
      </c>
      <c r="D24" s="333" t="s">
        <v>1940</v>
      </c>
      <c r="E24" s="334" t="s">
        <v>1188</v>
      </c>
      <c r="F24" s="335" t="s">
        <v>1931</v>
      </c>
      <c r="G24" s="336" t="s">
        <v>1671</v>
      </c>
      <c r="H24" s="337" t="s">
        <v>1941</v>
      </c>
      <c r="I24" s="479" t="s">
        <v>1188</v>
      </c>
      <c r="J24" s="338">
        <v>84.4</v>
      </c>
      <c r="K24" s="339">
        <v>434.2</v>
      </c>
      <c r="L24" s="340">
        <v>71.239999999999995</v>
      </c>
      <c r="M24" s="342" t="s">
        <v>1933</v>
      </c>
      <c r="N24" s="342" t="s">
        <v>1934</v>
      </c>
      <c r="O24" s="342" t="s">
        <v>1935</v>
      </c>
      <c r="P24" s="319">
        <v>2</v>
      </c>
      <c r="Q24" s="320" t="s">
        <v>1129</v>
      </c>
      <c r="R24" s="355">
        <f>IF(AND(ISBLANK(P24),ISTEXT(Q24)),"t1?",IF(AND(ISBLANK(Q24),ISBLANK(P24)),"",VLOOKUP(BH24,Materialliste!$A$2:$B$1615,2,FALSE)))</f>
        <v>1250</v>
      </c>
      <c r="S24" s="319">
        <v>2.1</v>
      </c>
      <c r="T24" s="320" t="s">
        <v>1129</v>
      </c>
      <c r="U24" s="355">
        <f>IF(AND(ISBLANK(S24),ISTEXT(T24)),"t2?",IF(AND(ISBLANK(T24),ISBLANK(S24)),"",VLOOKUP(BI24,Materialliste!$A$2:$B$1615,2,FALSE)))</f>
        <v>1250</v>
      </c>
      <c r="V24" s="319">
        <v>3</v>
      </c>
      <c r="W24" s="320" t="s">
        <v>600</v>
      </c>
      <c r="X24" s="355">
        <f>IF(AND(ISBLANK(V24),ISTEXT(W24)),"t3?",IF(AND(ISBLANK(W24),ISBLANK(V24)),"",VLOOKUP(BJ24,Materialliste!$A$2:$B$1615,2,FALSE)))</f>
        <v>350</v>
      </c>
      <c r="Y24" s="443" t="s">
        <v>1926</v>
      </c>
      <c r="Z24" s="346">
        <f t="shared" si="0"/>
        <v>2.2800000000000002</v>
      </c>
      <c r="AA24" s="347">
        <f t="shared" si="11"/>
        <v>1.3318181818181818</v>
      </c>
      <c r="AB24" s="454">
        <f t="shared" si="12"/>
        <v>5.5797818181818188</v>
      </c>
      <c r="AC24" s="348">
        <f t="shared" si="13"/>
        <v>7.2420000000000009</v>
      </c>
      <c r="AD24" s="323">
        <f t="shared" si="1"/>
        <v>900</v>
      </c>
      <c r="AE24" s="349">
        <f t="shared" si="14"/>
        <v>3.9058472727272728</v>
      </c>
      <c r="AF24" s="480">
        <f t="shared" si="15"/>
        <v>4.9497474683058327</v>
      </c>
      <c r="AG24" s="482">
        <f t="shared" si="16"/>
        <v>5.0719818611663037</v>
      </c>
      <c r="AH24" s="461" t="str">
        <f t="shared" si="2"/>
        <v>39D 1979-2 !</v>
      </c>
      <c r="AI24" s="350">
        <f t="shared" si="17"/>
        <v>8</v>
      </c>
      <c r="AJ24" s="350">
        <f t="shared" si="18"/>
        <v>50</v>
      </c>
      <c r="AK24" s="350">
        <f t="shared" si="19"/>
        <v>8</v>
      </c>
      <c r="AL24" s="351">
        <f t="shared" si="20"/>
        <v>50</v>
      </c>
      <c r="AM24" s="691"/>
      <c r="AN24" s="692"/>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TL 4225-AS30/30</v>
      </c>
      <c r="BJ24" s="473" t="str">
        <f t="shared" si="5"/>
        <v>CR270LA-EG12/12</v>
      </c>
      <c r="BM24" s="474">
        <f t="shared" si="6"/>
        <v>3</v>
      </c>
      <c r="BN24" s="475">
        <f t="shared" si="22"/>
        <v>2.1</v>
      </c>
      <c r="BO24" s="474">
        <f t="shared" si="7"/>
        <v>2</v>
      </c>
      <c r="BP24" s="474">
        <f t="shared" si="8"/>
        <v>2.1</v>
      </c>
      <c r="BQ24" s="474">
        <f t="shared" si="9"/>
        <v>3</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1979-2 !</v>
      </c>
      <c r="CL24" s="306" t="str">
        <f t="shared" si="31"/>
        <v>39D 1978-2</v>
      </c>
    </row>
    <row r="25" spans="1:90" ht="33" customHeight="1">
      <c r="A25" s="797"/>
      <c r="B25" s="281"/>
      <c r="C25" s="332">
        <v>7.1150700000000002</v>
      </c>
      <c r="D25" s="333" t="s">
        <v>1942</v>
      </c>
      <c r="E25" s="334" t="s">
        <v>1188</v>
      </c>
      <c r="F25" s="335" t="s">
        <v>1931</v>
      </c>
      <c r="G25" s="336" t="s">
        <v>1671</v>
      </c>
      <c r="H25" s="337" t="s">
        <v>1941</v>
      </c>
      <c r="I25" s="479" t="s">
        <v>1188</v>
      </c>
      <c r="J25" s="338">
        <v>75.510000000000005</v>
      </c>
      <c r="K25" s="339">
        <v>424.12</v>
      </c>
      <c r="L25" s="340">
        <v>77.290000000000006</v>
      </c>
      <c r="M25" s="342" t="s">
        <v>1933</v>
      </c>
      <c r="N25" s="342" t="s">
        <v>1934</v>
      </c>
      <c r="O25" s="342" t="s">
        <v>1935</v>
      </c>
      <c r="P25" s="319">
        <v>2</v>
      </c>
      <c r="Q25" s="320" t="s">
        <v>1129</v>
      </c>
      <c r="R25" s="355">
        <f>IF(AND(ISBLANK(P25),ISTEXT(Q25)),"t1?",IF(AND(ISBLANK(Q25),ISBLANK(P25)),"",VLOOKUP(BH25,Materialliste!$A$2:$B$1615,2,FALSE)))</f>
        <v>1250</v>
      </c>
      <c r="S25" s="319">
        <v>2.1</v>
      </c>
      <c r="T25" s="320" t="s">
        <v>1129</v>
      </c>
      <c r="U25" s="355">
        <f>IF(AND(ISBLANK(S25),ISTEXT(T25)),"t2?",IF(AND(ISBLANK(T25),ISBLANK(S25)),"",VLOOKUP(BI25,Materialliste!$A$2:$B$1615,2,FALSE)))</f>
        <v>1250</v>
      </c>
      <c r="V25" s="319">
        <v>3</v>
      </c>
      <c r="W25" s="320" t="s">
        <v>600</v>
      </c>
      <c r="X25" s="355">
        <f>IF(AND(ISBLANK(V25),ISTEXT(W25)),"t3?",IF(AND(ISBLANK(W25),ISBLANK(V25)),"",VLOOKUP(BJ25,Materialliste!$A$2:$B$1615,2,FALSE)))</f>
        <v>350</v>
      </c>
      <c r="Y25" s="443" t="s">
        <v>1926</v>
      </c>
      <c r="Z25" s="346">
        <f t="shared" si="0"/>
        <v>2.2800000000000002</v>
      </c>
      <c r="AA25" s="347">
        <f t="shared" si="11"/>
        <v>1.3318181818181818</v>
      </c>
      <c r="AB25" s="454">
        <f t="shared" si="12"/>
        <v>5.5797818181818188</v>
      </c>
      <c r="AC25" s="348">
        <f t="shared" si="13"/>
        <v>7.2420000000000009</v>
      </c>
      <c r="AD25" s="323">
        <f t="shared" si="1"/>
        <v>900</v>
      </c>
      <c r="AE25" s="349">
        <f t="shared" si="14"/>
        <v>3.9058472727272728</v>
      </c>
      <c r="AF25" s="480">
        <f t="shared" si="15"/>
        <v>4.9497474683058327</v>
      </c>
      <c r="AG25" s="482">
        <f t="shared" si="16"/>
        <v>5.0719818611663037</v>
      </c>
      <c r="AH25" s="461" t="str">
        <f t="shared" si="2"/>
        <v>39D 1979-2 !</v>
      </c>
      <c r="AI25" s="350">
        <f t="shared" si="17"/>
        <v>8</v>
      </c>
      <c r="AJ25" s="350">
        <f t="shared" si="18"/>
        <v>50</v>
      </c>
      <c r="AK25" s="350">
        <f t="shared" si="19"/>
        <v>8</v>
      </c>
      <c r="AL25" s="351">
        <f t="shared" si="20"/>
        <v>50</v>
      </c>
      <c r="AM25" s="691"/>
      <c r="AN25" s="692"/>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TL 4225-AS30/30</v>
      </c>
      <c r="BJ25" s="473" t="str">
        <f t="shared" si="5"/>
        <v>CR270LA-EG12/12</v>
      </c>
      <c r="BM25" s="474">
        <f t="shared" si="6"/>
        <v>3</v>
      </c>
      <c r="BN25" s="475">
        <f t="shared" si="22"/>
        <v>2.1</v>
      </c>
      <c r="BO25" s="474">
        <f t="shared" si="7"/>
        <v>2</v>
      </c>
      <c r="BP25" s="474">
        <f t="shared" si="8"/>
        <v>2.1</v>
      </c>
      <c r="BQ25" s="474">
        <f t="shared" si="9"/>
        <v>3</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1979-2 !</v>
      </c>
      <c r="CL25" s="306" t="str">
        <f t="shared" si="31"/>
        <v>39D 1978-2</v>
      </c>
    </row>
    <row r="26" spans="1:90" ht="33" customHeight="1">
      <c r="A26" s="797"/>
      <c r="B26" s="281"/>
      <c r="C26" s="332">
        <v>7.1150799999999998</v>
      </c>
      <c r="D26" s="333" t="s">
        <v>1943</v>
      </c>
      <c r="E26" s="334" t="s">
        <v>1188</v>
      </c>
      <c r="F26" s="335" t="s">
        <v>1931</v>
      </c>
      <c r="G26" s="336" t="s">
        <v>1671</v>
      </c>
      <c r="H26" s="337" t="s">
        <v>1941</v>
      </c>
      <c r="I26" s="479" t="s">
        <v>1188</v>
      </c>
      <c r="J26" s="338">
        <v>84.4</v>
      </c>
      <c r="K26" s="339">
        <v>408.41</v>
      </c>
      <c r="L26" s="340">
        <v>71.239999999999995</v>
      </c>
      <c r="M26" s="342" t="s">
        <v>1933</v>
      </c>
      <c r="N26" s="342" t="s">
        <v>1934</v>
      </c>
      <c r="O26" s="342" t="s">
        <v>1935</v>
      </c>
      <c r="P26" s="319">
        <v>2</v>
      </c>
      <c r="Q26" s="320" t="s">
        <v>1129</v>
      </c>
      <c r="R26" s="355">
        <f>IF(AND(ISBLANK(P26),ISTEXT(Q26)),"t1?",IF(AND(ISBLANK(Q26),ISBLANK(P26)),"",VLOOKUP(BH26,Materialliste!$A$2:$B$1615,2,FALSE)))</f>
        <v>1250</v>
      </c>
      <c r="S26" s="319">
        <v>2.1</v>
      </c>
      <c r="T26" s="320" t="s">
        <v>1129</v>
      </c>
      <c r="U26" s="355">
        <f>IF(AND(ISBLANK(S26),ISTEXT(T26)),"t2?",IF(AND(ISBLANK(T26),ISBLANK(S26)),"",VLOOKUP(BI26,Materialliste!$A$2:$B$1615,2,FALSE)))</f>
        <v>1250</v>
      </c>
      <c r="V26" s="319">
        <v>3</v>
      </c>
      <c r="W26" s="320" t="s">
        <v>600</v>
      </c>
      <c r="X26" s="355">
        <f>IF(AND(ISBLANK(V26),ISTEXT(W26)),"t3?",IF(AND(ISBLANK(W26),ISBLANK(V26)),"",VLOOKUP(BJ26,Materialliste!$A$2:$B$1615,2,FALSE)))</f>
        <v>350</v>
      </c>
      <c r="Y26" s="443" t="s">
        <v>1926</v>
      </c>
      <c r="Z26" s="346">
        <f t="shared" si="0"/>
        <v>2.2800000000000002</v>
      </c>
      <c r="AA26" s="347">
        <f t="shared" si="11"/>
        <v>1.3318181818181818</v>
      </c>
      <c r="AB26" s="454">
        <f t="shared" si="12"/>
        <v>5.5797818181818188</v>
      </c>
      <c r="AC26" s="348">
        <f t="shared" si="13"/>
        <v>7.2420000000000009</v>
      </c>
      <c r="AD26" s="323">
        <f>IF(OR(ISBLANK(G26),Z26="BLECH?"),"",IF(AND(BT26="J",G26="C"),60,IF(G26="B",60,IF(G26="R",150,IF(G26="S",90,IF(AND(G26="m",BT26="n"),350,IF(AND(G26="m",BT26="j"),50,MAX(MIN((((P26+S26+V26-1.4)*(600/4.6))+200)+BU26,900),200))))))))</f>
        <v>900</v>
      </c>
      <c r="AE26" s="349">
        <f t="shared" si="14"/>
        <v>3.9058472727272728</v>
      </c>
      <c r="AF26" s="480">
        <f t="shared" si="15"/>
        <v>4.9497474683058327</v>
      </c>
      <c r="AG26" s="482">
        <f t="shared" si="16"/>
        <v>5.0719818611663037</v>
      </c>
      <c r="AH26" s="461" t="str">
        <f t="shared" si="2"/>
        <v>39D 1979-2 !</v>
      </c>
      <c r="AI26" s="350">
        <f t="shared" si="17"/>
        <v>8</v>
      </c>
      <c r="AJ26" s="350">
        <f t="shared" si="18"/>
        <v>50</v>
      </c>
      <c r="AK26" s="350">
        <f t="shared" si="19"/>
        <v>8</v>
      </c>
      <c r="AL26" s="351">
        <f t="shared" si="20"/>
        <v>50</v>
      </c>
      <c r="AM26" s="691"/>
      <c r="AN26" s="692"/>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TL 4225-AS30/30</v>
      </c>
      <c r="BI26" s="473" t="str">
        <f t="shared" si="4"/>
        <v>TL 4225-AS30/30</v>
      </c>
      <c r="BJ26" s="473" t="str">
        <f t="shared" si="5"/>
        <v>CR270LA-EG12/12</v>
      </c>
      <c r="BM26" s="474">
        <f t="shared" si="6"/>
        <v>3</v>
      </c>
      <c r="BN26" s="475">
        <f t="shared" si="22"/>
        <v>2.1</v>
      </c>
      <c r="BO26" s="474">
        <f t="shared" si="7"/>
        <v>2</v>
      </c>
      <c r="BP26" s="474">
        <f t="shared" si="8"/>
        <v>2.1</v>
      </c>
      <c r="BQ26" s="474">
        <f t="shared" si="9"/>
        <v>3</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1979-2 !</v>
      </c>
      <c r="CL26" s="306" t="str">
        <f t="shared" si="31"/>
        <v>39D 1978-2</v>
      </c>
    </row>
    <row r="27" spans="1:90" ht="33" customHeight="1">
      <c r="A27" s="797"/>
      <c r="B27" s="281"/>
      <c r="C27" s="332">
        <v>7.1150900000000004</v>
      </c>
      <c r="D27" s="333" t="s">
        <v>1944</v>
      </c>
      <c r="E27" s="334" t="s">
        <v>1188</v>
      </c>
      <c r="F27" s="335" t="s">
        <v>1931</v>
      </c>
      <c r="G27" s="336" t="s">
        <v>1671</v>
      </c>
      <c r="H27" s="337" t="s">
        <v>1941</v>
      </c>
      <c r="I27" s="479" t="s">
        <v>1188</v>
      </c>
      <c r="J27" s="338">
        <v>64.03</v>
      </c>
      <c r="K27" s="339">
        <v>441.39</v>
      </c>
      <c r="L27" s="340">
        <v>85.12</v>
      </c>
      <c r="M27" s="342" t="s">
        <v>1933</v>
      </c>
      <c r="N27" s="342" t="s">
        <v>1934</v>
      </c>
      <c r="O27" s="342" t="s">
        <v>1935</v>
      </c>
      <c r="P27" s="319">
        <v>2</v>
      </c>
      <c r="Q27" s="320" t="s">
        <v>1129</v>
      </c>
      <c r="R27" s="355">
        <f>IF(AND(ISBLANK(P27),ISTEXT(Q27)),"t1?",IF(AND(ISBLANK(Q27),ISBLANK(P27)),"",VLOOKUP(BH27,Materialliste!$A$2:$B$1615,2,FALSE)))</f>
        <v>1250</v>
      </c>
      <c r="S27" s="319">
        <v>2.1</v>
      </c>
      <c r="T27" s="320" t="s">
        <v>1129</v>
      </c>
      <c r="U27" s="355">
        <f>IF(AND(ISBLANK(S27),ISTEXT(T27)),"t2?",IF(AND(ISBLANK(T27),ISBLANK(S27)),"",VLOOKUP(BI27,Materialliste!$A$2:$B$1615,2,FALSE)))</f>
        <v>1250</v>
      </c>
      <c r="V27" s="319">
        <v>3</v>
      </c>
      <c r="W27" s="320" t="s">
        <v>600</v>
      </c>
      <c r="X27" s="355">
        <f>IF(AND(ISBLANK(V27),ISTEXT(W27)),"t3?",IF(AND(ISBLANK(W27),ISBLANK(V27)),"",VLOOKUP(BJ27,Materialliste!$A$2:$B$1615,2,FALSE)))</f>
        <v>350</v>
      </c>
      <c r="Y27" s="443" t="s">
        <v>1926</v>
      </c>
      <c r="Z27" s="346">
        <f t="shared" si="0"/>
        <v>2.2800000000000002</v>
      </c>
      <c r="AA27" s="347">
        <f t="shared" si="11"/>
        <v>1.3318181818181818</v>
      </c>
      <c r="AB27" s="454">
        <f t="shared" si="12"/>
        <v>5.5797818181818188</v>
      </c>
      <c r="AC27" s="348">
        <f t="shared" si="13"/>
        <v>7.2420000000000009</v>
      </c>
      <c r="AD27" s="323">
        <f t="shared" ref="AD27:AD43" si="32">IF(OR(ISBLANK(G27),Z27="BLECH?"),"",IF(AND(BT27="J",G27="C"),60,IF(G27="B",60,IF(G27="R",150,IF(G27="S",90,IF(AND(G27="m",BT27="n"),350,IF(AND(G27="m",BT27="j"),50,MAX(MIN((((P27+S27+V27-1.4)*(600/4.6))+200)+BU27,900),200))))))))</f>
        <v>900</v>
      </c>
      <c r="AE27" s="349">
        <f t="shared" si="14"/>
        <v>3.9058472727272728</v>
      </c>
      <c r="AF27" s="480">
        <f t="shared" si="15"/>
        <v>4.9497474683058327</v>
      </c>
      <c r="AG27" s="482">
        <f t="shared" si="16"/>
        <v>5.0719818611663037</v>
      </c>
      <c r="AH27" s="461" t="str">
        <f t="shared" si="2"/>
        <v>39D 1979-2 !</v>
      </c>
      <c r="AI27" s="350">
        <f t="shared" si="17"/>
        <v>8</v>
      </c>
      <c r="AJ27" s="350">
        <f t="shared" si="18"/>
        <v>50</v>
      </c>
      <c r="AK27" s="350">
        <f t="shared" si="19"/>
        <v>8</v>
      </c>
      <c r="AL27" s="351">
        <f t="shared" si="20"/>
        <v>50</v>
      </c>
      <c r="AM27" s="691"/>
      <c r="AN27" s="692"/>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TL 4225-AS30/30</v>
      </c>
      <c r="BI27" s="473" t="str">
        <f t="shared" si="4"/>
        <v>TL 4225-AS30/30</v>
      </c>
      <c r="BJ27" s="473" t="str">
        <f t="shared" si="5"/>
        <v>CR270LA-EG12/12</v>
      </c>
      <c r="BM27" s="474">
        <f t="shared" si="6"/>
        <v>3</v>
      </c>
      <c r="BN27" s="475">
        <f t="shared" si="22"/>
        <v>2.1</v>
      </c>
      <c r="BO27" s="474">
        <f t="shared" si="7"/>
        <v>2</v>
      </c>
      <c r="BP27" s="474">
        <f t="shared" si="8"/>
        <v>2.1</v>
      </c>
      <c r="BQ27" s="474">
        <f t="shared" si="9"/>
        <v>3</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1979-2 !</v>
      </c>
      <c r="CL27" s="306" t="str">
        <f t="shared" si="31"/>
        <v>39D 1978-2</v>
      </c>
    </row>
    <row r="28" spans="1:90" ht="33" customHeight="1">
      <c r="A28" s="797"/>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1"/>
      <c r="AN28" s="692"/>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7"/>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1"/>
      <c r="AN29" s="692"/>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7"/>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1"/>
      <c r="AN30" s="692"/>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7"/>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1"/>
      <c r="AN31" s="692"/>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7"/>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1"/>
      <c r="AN32" s="692"/>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7"/>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1"/>
      <c r="AN33" s="692"/>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7"/>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1"/>
      <c r="AN34" s="692"/>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7"/>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1"/>
      <c r="AN35" s="692"/>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7"/>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1"/>
      <c r="AN36" s="692"/>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7"/>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1"/>
      <c r="AN37" s="692"/>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7"/>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1"/>
      <c r="AN38" s="692"/>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7"/>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1"/>
      <c r="AN39" s="692"/>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7"/>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1"/>
      <c r="AN40" s="692"/>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7"/>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1"/>
      <c r="AN41" s="692"/>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7"/>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1"/>
      <c r="AN42" s="692"/>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7"/>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4"/>
      <c r="AN43" s="1055"/>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7"/>
      <c r="B44" s="281"/>
      <c r="C44" s="942" t="str">
        <f>IF($E$6="DE","Zylinderdurchmesser [mm]                 (nur für SPZ)","Cylinder Diameter (mm)              (only for SPZ)")</f>
        <v>Cylinder Diameter (mm)              (only for SPZ)</v>
      </c>
      <c r="D44" s="943"/>
      <c r="E44" s="945"/>
      <c r="F44" s="940" t="str">
        <f>IF($E$6="DE","Schweißkraft min. [N]","Welding Force min. [N]")</f>
        <v>Welding Force min. [N]</v>
      </c>
      <c r="G44" s="941"/>
      <c r="H44" s="411">
        <f>IF(AND(AN45="JA",ISTEXT(AG47),ISNUMBER(AL47)),(IF(G6="RZ",ROUNDDOWN(MIN(AE19:AE43)*1000,-2),IF(G6="SPZ",ROUNDDOWN(MIN(AE19:AE43)*1000,-2),"Zangentyp?"))),(IF(G6="RZ",ROUNDDOWN(MIN(AB19:AB43)*1000,-2),IF(G6="SPZ",ROUNDDOWN(MIN(AB19:AB43)*1000,-2),"Zangentyp?"))))</f>
        <v>4800</v>
      </c>
      <c r="I44" s="940" t="str">
        <f>IF($E$6="DE","Ausladung [mm]","Distance to Tip [mm]")</f>
        <v>Distance to Tip [mm]</v>
      </c>
      <c r="J44" s="956"/>
      <c r="K44" s="955"/>
      <c r="L44" s="412"/>
      <c r="M44" s="940" t="str">
        <f>IF($E$6="DE","Zylinderkraft min. [N]","Cyl. Force min. [N]")</f>
        <v>Cyl. Force min. [N]</v>
      </c>
      <c r="N44" s="955"/>
      <c r="O44" s="413" t="e">
        <f>IF(G8="J",(H44/L46)*2,H44/L46)</f>
        <v>#DIV/0!</v>
      </c>
      <c r="P44" s="940" t="str">
        <f>IF($E$6="DE","Zylinderdruck min. [bar]","Cyl. Pressure min. [bar]")</f>
        <v>Cyl. Pressure min. [bar]</v>
      </c>
      <c r="Q44" s="955"/>
      <c r="R44" s="760" t="e">
        <f>10*O44/(H46*E46)</f>
        <v>#DIV/0!</v>
      </c>
      <c r="S44" s="761"/>
      <c r="T44" s="780" t="str">
        <f>IF(AND($E$6="DE",G6="RZ"),"Ergebnis Zangen-/Motorauslegung",IF(AND($E$6="ENG",G6="RZ"),"Result Gun/Motor Design",IF(AND($E$6="DE",G6="SPZ"),"Ergebnis zwischen 1,0 bar und 10 bar:",IF(AND($E$6="ENG",G6="SPZ"),"Result between 1,0 bar and 10 bar:","-"))))</f>
        <v>Result between 1,0 bar and 10 bar:</v>
      </c>
      <c r="U44" s="781"/>
      <c r="V44" s="781"/>
      <c r="W44" s="782"/>
      <c r="X44" s="828" t="str">
        <f>IF($E$6="DE","benötigte Elektrodenkappen für Schweißzange","required Electrode Caps for Gun")</f>
        <v>required Electrode Caps for Gun</v>
      </c>
      <c r="Y44" s="829"/>
      <c r="Z44" s="830"/>
      <c r="AA44" s="791" t="str">
        <f>IF($E$6="DE","benötigtes Fräsmesser","required Tip Dresser")</f>
        <v>required Tip Dresser</v>
      </c>
      <c r="AB44" s="792"/>
      <c r="AC44" s="792"/>
      <c r="AD44" s="792"/>
      <c r="AE44" s="785" t="str">
        <f>IF(AND(AN45="JA",COUNTIF(BS19:BS43,TRUE)=0),"kein VW50066/TL4225 außen vorhanden, bitte auf 'Nein' zurückschalten / No VW50066/TL4225 outside detected, please switch back to 'Nein' ","")</f>
        <v/>
      </c>
      <c r="AF44" s="786"/>
      <c r="AG44" s="786"/>
      <c r="AH44" s="786"/>
      <c r="AI44" s="786"/>
      <c r="AJ44" s="786"/>
      <c r="AK44" s="786"/>
      <c r="AL44" s="786"/>
      <c r="AM44" s="786"/>
      <c r="AN44" s="787"/>
      <c r="AO44" s="860" t="str">
        <f>IF($E$6="DE","Legende der Indizes:","Legend of Indices")</f>
        <v>Legend of Indices</v>
      </c>
      <c r="AP44" s="861"/>
      <c r="AQ44" s="861"/>
      <c r="AR44" s="861"/>
      <c r="AS44" s="861"/>
      <c r="AT44" s="861"/>
      <c r="AU44" s="861"/>
      <c r="AV44" s="861"/>
      <c r="AW44" s="861"/>
      <c r="AX44" s="861"/>
      <c r="AY44" s="861"/>
      <c r="AZ44" s="861"/>
      <c r="BA44" s="861"/>
      <c r="BB44" s="862"/>
      <c r="BC44" s="282"/>
      <c r="BD44" s="282"/>
      <c r="BE44" s="282"/>
      <c r="BF44" s="282">
        <f>COUNTIF(BF19:BF43,"Ja")</f>
        <v>2</v>
      </c>
    </row>
    <row r="45" spans="1:90" ht="25.5" customHeight="1" thickBot="1">
      <c r="A45" s="797"/>
      <c r="B45" s="281"/>
      <c r="C45" s="944"/>
      <c r="D45" s="941"/>
      <c r="E45" s="946"/>
      <c r="F45" s="947" t="str">
        <f>IF($E$6="DE","Schweißkraft max. [N]","Welding Force max. [N]")</f>
        <v>Welding Force max. [N]</v>
      </c>
      <c r="G45" s="948"/>
      <c r="H45" s="414">
        <f>IF(AND(AN45="Ja",ISTEXT(AG47),ISNUMBER(AL47)),(IF(ROUNDUP(MAX(AE19:AE43)*2300,-3)&gt;5000,(ROUNDUP(MAX(AE19:AE43)*2300,-3)/2),2500)),(IF(ROUNDUP(MAX(AB19:AB43)*2200,-3)&gt;5000,(ROUNDUP(MAX(AB19:AB43)*2200,-3)/2),IF(BL9=TRUE,1100,2500))))</f>
        <v>6500</v>
      </c>
      <c r="I45" s="947" t="str">
        <f>IF(G6="RZ",IF($E$6="DE","Abstand Motor [mm]","Distance to Motor [mm]"),IF($E$6="DE","Abstand Zylinder [mm]","Distance to Cylinder [mm]"))</f>
        <v>Distance to Cylinder [mm]</v>
      </c>
      <c r="J45" s="957"/>
      <c r="K45" s="948"/>
      <c r="L45" s="415"/>
      <c r="M45" s="949" t="str">
        <f>IF($E$6="DE","Zylinderkraft max.[N]","Cyl. Force max.[N]")</f>
        <v>Cyl. Force max.[N]</v>
      </c>
      <c r="N45" s="950"/>
      <c r="O45" s="416" t="e">
        <f>IF(G8="J",(H45/L46)*2,H45/L46)</f>
        <v>#DIV/0!</v>
      </c>
      <c r="P45" s="949" t="str">
        <f>IF($E$6="DE","Zylinderdruck max. [bar]","Cyl. Pressure max. [bar]")</f>
        <v>Cyl. Pressure max. [bar]</v>
      </c>
      <c r="Q45" s="950"/>
      <c r="R45" s="758" t="e">
        <f>10*O45/(H46*E46)</f>
        <v>#DIV/0!</v>
      </c>
      <c r="S45" s="759"/>
      <c r="T45" s="788" t="str">
        <f>IF(G6="RZ",BH49,IF(G6="SPZ",BH46,IF(G6="-","Zangentyp/Guntype?")))</f>
        <v>Max. Force of Gun acc.Drw.exceeded</v>
      </c>
      <c r="U45" s="789"/>
      <c r="V45" s="789"/>
      <c r="W45" s="790"/>
      <c r="X45" s="792"/>
      <c r="Y45" s="792"/>
      <c r="Z45" s="831"/>
      <c r="AA45" s="417" t="s">
        <v>1178</v>
      </c>
      <c r="AB45" s="418" t="s">
        <v>1180</v>
      </c>
      <c r="AC45" s="418" t="s">
        <v>1179</v>
      </c>
      <c r="AD45" s="419" t="s">
        <v>1181</v>
      </c>
      <c r="AE45" s="1044"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5"/>
      <c r="AG45" s="1045"/>
      <c r="AH45" s="1045"/>
      <c r="AI45" s="1045"/>
      <c r="AJ45" s="1045"/>
      <c r="AK45" s="1045"/>
      <c r="AL45" s="1045"/>
      <c r="AM45" s="1045"/>
      <c r="AN45" s="823" t="s">
        <v>1277</v>
      </c>
      <c r="AO45" s="863"/>
      <c r="AP45" s="864"/>
      <c r="AQ45" s="864"/>
      <c r="AR45" s="864"/>
      <c r="AS45" s="864"/>
      <c r="AT45" s="864"/>
      <c r="AU45" s="864"/>
      <c r="AV45" s="864"/>
      <c r="AW45" s="864"/>
      <c r="AX45" s="864"/>
      <c r="AY45" s="864"/>
      <c r="AZ45" s="864"/>
      <c r="BA45" s="864"/>
      <c r="BB45" s="865"/>
      <c r="BC45" s="282"/>
      <c r="BD45" s="282"/>
      <c r="BE45" s="282"/>
      <c r="BF45" s="282"/>
      <c r="BH45" s="854" t="s">
        <v>1189</v>
      </c>
      <c r="BI45" s="855"/>
    </row>
    <row r="46" spans="1:90" ht="35.25" customHeight="1" thickBot="1">
      <c r="A46" s="797"/>
      <c r="B46" s="281"/>
      <c r="C46" s="949" t="str">
        <f>IF($E$6="DE","Zylinderwirkungsgrad                           (nur für SPZ)","Cylinder Efficiency                                  (only for SPZ)")</f>
        <v>Cylinder Efficiency                                  (only for SPZ)</v>
      </c>
      <c r="D46" s="950"/>
      <c r="E46" s="416">
        <v>0.95</v>
      </c>
      <c r="F46" s="949" t="str">
        <f>IF($E$6="DE","Zylinderfläche [mm²] (nur für SPZ)","Cylinder Surface [mm²] (only for SPZ)")</f>
        <v>Cylinder Surface [mm²] (only for SPZ)</v>
      </c>
      <c r="G46" s="950"/>
      <c r="H46" s="420">
        <f>IF(E45="T",2*PI()/4*POWER(E44,2),PI()/4*POWER(E44,2))</f>
        <v>0</v>
      </c>
      <c r="I46" s="752" t="str">
        <f>IF($E$6="DE","Ausladung/ Abstand","Leverage Ratio")</f>
        <v>Leverage Ratio</v>
      </c>
      <c r="J46" s="753"/>
      <c r="K46" s="754"/>
      <c r="L46" s="421" t="e">
        <f>IF(G19="X",L45/L44,1)</f>
        <v>#DIV/0!</v>
      </c>
      <c r="M46" s="951" t="str">
        <f>IF($E$6="DE","notwendige Motorkraft min. [N]","requiered Motor Force min. [N]")</f>
        <v>requiered Motor Force min. [N]</v>
      </c>
      <c r="N46" s="952"/>
      <c r="O46" s="422" t="e">
        <f>IF(G8="J",(H44/L46)*2,H44/L46)</f>
        <v>#DIV/0!</v>
      </c>
      <c r="P46" s="951" t="str">
        <f>IF($E$6="DE","erreichbare Motorkraft min. [N]","feasible Motor Force min. [N]")</f>
        <v>feasible Motor Force min. [N]</v>
      </c>
      <c r="Q46" s="952"/>
      <c r="R46" s="767" t="str">
        <f>IF(ISNA(VLOOKUP(CONCATENATE(E47,H47,L47),Motordaten!D3:H45,3,FALSE)),"",VLOOKUP(CONCATENATE(E47,H47,L47),Motordaten!D3:H45,3,FALSE))</f>
        <v/>
      </c>
      <c r="S46" s="768"/>
      <c r="T46" s="771" t="e">
        <f>IF(G6="RZ",BH50,IF(G6="SPZ",BH47," "))</f>
        <v>#DIV/0!</v>
      </c>
      <c r="U46" s="772"/>
      <c r="V46" s="772"/>
      <c r="W46" s="773"/>
      <c r="X46" s="825"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1979-2 !</v>
      </c>
      <c r="Y46" s="826"/>
      <c r="Z46" s="827"/>
      <c r="AA46" s="423">
        <f>IF(AND(X46="39D 1978-2",MAX(AI19:AI43)=8),8,(VLOOKUP(X46,AH19:AL43,2,FALSE)))</f>
        <v>8</v>
      </c>
      <c r="AB46" s="424">
        <f>VLOOKUP(X46,AH19:AL43,3,FALSE)</f>
        <v>50</v>
      </c>
      <c r="AC46" s="425">
        <f>IF(AND(X46="39D 1978-2",MAX(AK19:AK43)=8),8,(VLOOKUP(X46,AH19:AL43,4,FALSE)))</f>
        <v>8</v>
      </c>
      <c r="AD46" s="426">
        <f>VLOOKUP(X46,AH19:AL43,5,FALSE)</f>
        <v>50</v>
      </c>
      <c r="AE46" s="1046"/>
      <c r="AF46" s="1047"/>
      <c r="AG46" s="1047"/>
      <c r="AH46" s="1047"/>
      <c r="AI46" s="1047"/>
      <c r="AJ46" s="1047"/>
      <c r="AK46" s="1047"/>
      <c r="AL46" s="1047"/>
      <c r="AM46" s="1047"/>
      <c r="AN46" s="824"/>
      <c r="AO46" s="866"/>
      <c r="AP46" s="867"/>
      <c r="AQ46" s="867"/>
      <c r="AR46" s="867"/>
      <c r="AS46" s="867"/>
      <c r="AT46" s="867"/>
      <c r="AU46" s="867"/>
      <c r="AV46" s="867"/>
      <c r="AW46" s="867"/>
      <c r="AX46" s="867"/>
      <c r="AY46" s="867"/>
      <c r="AZ46" s="867"/>
      <c r="BA46" s="867"/>
      <c r="BB46" s="868"/>
      <c r="BC46" s="282"/>
      <c r="BD46" s="282"/>
      <c r="BE46" s="282"/>
      <c r="BF46" s="282"/>
      <c r="BH46" s="85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853"/>
      <c r="BJ46" s="279" t="s">
        <v>1709</v>
      </c>
    </row>
    <row r="47" spans="1:90" ht="42.75" customHeight="1" thickBot="1">
      <c r="A47" s="797"/>
      <c r="B47" s="281"/>
      <c r="C47" s="938" t="str">
        <f>IF($E$6="DE","Roboterhersteller                                          (nur für RZ)","Robot Supplier                                  (only for RZ)")</f>
        <v>Robot Supplier                                  (only for RZ)</v>
      </c>
      <c r="D47" s="939"/>
      <c r="E47" s="427"/>
      <c r="F47" s="938" t="str">
        <f>IF($E$6="DE","Zangengrundkörper               (nur für RZ)","Weld Gun Basic Body (only for RZ)")</f>
        <v>Weld Gun Basic Body (only for RZ)</v>
      </c>
      <c r="G47" s="939"/>
      <c r="H47" s="427"/>
      <c r="I47" s="755" t="str">
        <f>IF($E$6="DE","Motorhersteller                           (nur für RZ)","Motor Supplier                        (only for RZ)")</f>
        <v>Motor Supplier                        (only for RZ)</v>
      </c>
      <c r="J47" s="756"/>
      <c r="K47" s="757"/>
      <c r="L47" s="427"/>
      <c r="M47" s="953" t="str">
        <f>IF($E$6="DE","notwendige Motorkraft max. [N]","requiered Motor Force max. [N]")</f>
        <v>requiered Motor Force max. [N]</v>
      </c>
      <c r="N47" s="954"/>
      <c r="O47" s="428" t="e">
        <f>IF(G8="J",(H45/L46)*2,H45/L46)</f>
        <v>#DIV/0!</v>
      </c>
      <c r="P47" s="953" t="str">
        <f>IF($E$6="DE","erreichbare Motorkraft max. [N]"," feasible  Motor Force max. [N]")</f>
        <v xml:space="preserve"> feasible  Motor Force max. [N]</v>
      </c>
      <c r="Q47" s="954"/>
      <c r="R47" s="769" t="str">
        <f>IF(ISNA(VLOOKUP(CONCATENATE(E47,H47,L47),Motordaten!D3:H45,4,FALSE)),"",VLOOKUP(CONCATENATE(E47,H47,L47),Motordaten!D3:H45,4,FALSE))</f>
        <v/>
      </c>
      <c r="S47" s="770"/>
      <c r="T47" s="774" t="str">
        <f>IF($E$6="DE","Max.Elektrodenkraft lt.Zeichnung[N]","Max.Electrode-Force acc.to Drw.[N]")</f>
        <v>Max.Electrode-Force acc.to Drw.[N]</v>
      </c>
      <c r="U47" s="775"/>
      <c r="V47" s="776"/>
      <c r="W47" s="429">
        <v>5000</v>
      </c>
      <c r="X47" s="777" t="str">
        <f>IF($E$6="DE","Motorbezeichnung:","Designation of Motor")</f>
        <v>Designation of Motor</v>
      </c>
      <c r="Y47" s="778"/>
      <c r="Z47" s="779"/>
      <c r="AA47" s="777" t="str">
        <f>_xlfn.IFNA(VLOOKUP(CONCATENATE(E47,H47,L47),Motordaten!D3:H45,2,FALSE),IF(E6="DE","Kein Motortyp gefunden","no motortype found"))</f>
        <v>no motortype found</v>
      </c>
      <c r="AB47" s="778"/>
      <c r="AC47" s="778"/>
      <c r="AD47" s="779"/>
      <c r="AE47" s="1040" t="str">
        <f>IF(E6="DE", "Name:                         (Abteilung)","Name                        (Dept.)")</f>
        <v>Name                        (Dept.)</v>
      </c>
      <c r="AF47" s="875"/>
      <c r="AG47" s="879"/>
      <c r="AH47" s="880"/>
      <c r="AI47" s="881"/>
      <c r="AJ47" s="874" t="str">
        <f>IF(E6="DE", "Datum","Date")</f>
        <v>Date</v>
      </c>
      <c r="AK47" s="875"/>
      <c r="AL47" s="876"/>
      <c r="AM47" s="877"/>
      <c r="AN47" s="878"/>
      <c r="AO47" s="866"/>
      <c r="AP47" s="867"/>
      <c r="AQ47" s="867"/>
      <c r="AR47" s="867"/>
      <c r="AS47" s="867"/>
      <c r="AT47" s="867"/>
      <c r="AU47" s="867"/>
      <c r="AV47" s="867"/>
      <c r="AW47" s="867"/>
      <c r="AX47" s="867"/>
      <c r="AY47" s="867"/>
      <c r="AZ47" s="867"/>
      <c r="BA47" s="867"/>
      <c r="BB47" s="868"/>
      <c r="BC47" s="282"/>
      <c r="BD47" s="282"/>
      <c r="BE47" s="282"/>
      <c r="BF47" s="282"/>
      <c r="BH47" s="852" t="e">
        <f>IF($E$6="DE",IF(AND(R44&gt;=0.99,R44&lt;10,R45&gt;=0.99,R45&lt;10)," ","Rücksprache Prozessmethodik"),IF(AND(R44&gt;=0.99,R44&lt;10,R45&gt;=0.99,R45&lt;10)," ","consult Process Methodology"))</f>
        <v>#DIV/0!</v>
      </c>
      <c r="BI47" s="853"/>
      <c r="BJ47" s="279" t="s">
        <v>1709</v>
      </c>
    </row>
    <row r="48" spans="1:90" ht="12">
      <c r="A48" s="797"/>
      <c r="B48" s="281"/>
      <c r="C48" s="933"/>
      <c r="D48" s="934"/>
      <c r="E48" s="934"/>
      <c r="F48" s="935"/>
      <c r="G48" s="921" t="s">
        <v>0</v>
      </c>
      <c r="H48" s="922"/>
      <c r="I48" s="922"/>
      <c r="J48" s="923"/>
      <c r="K48" s="924" t="s">
        <v>12</v>
      </c>
      <c r="L48" s="925"/>
      <c r="M48" s="926" t="str">
        <f>IF(ISBLANK('Blatt 0'!O55),"Blatt 0!",'Blatt 0'!O55)</f>
        <v>1120</v>
      </c>
      <c r="N48" s="927"/>
      <c r="O48" s="905" t="s">
        <v>13</v>
      </c>
      <c r="P48" s="930" t="s">
        <v>2</v>
      </c>
      <c r="Q48" s="931"/>
      <c r="R48" s="843" t="str">
        <f>IF(ISBLANK('Blatt 0'!X55),"Blatt 0!",'Blatt 0'!X55)</f>
        <v>GME</v>
      </c>
      <c r="S48" s="844"/>
      <c r="T48" s="844"/>
      <c r="U48" s="844"/>
      <c r="V48" s="845"/>
      <c r="W48" s="371" t="s">
        <v>42</v>
      </c>
      <c r="X48" s="811">
        <f>IF(ISBLANK('Blatt 0'!AB55),"Blatt 0!",'Blatt 0'!AB55)</f>
        <v>3</v>
      </c>
      <c r="Y48" s="812"/>
      <c r="Z48" s="813"/>
      <c r="AA48" s="372"/>
      <c r="AB48" s="373"/>
      <c r="AC48" s="374"/>
      <c r="AD48" s="375"/>
      <c r="AE48" s="375"/>
      <c r="AF48" s="376"/>
      <c r="AG48" s="376"/>
      <c r="AH48" s="375"/>
      <c r="AI48" s="375"/>
      <c r="AJ48" s="375"/>
      <c r="AK48" s="377"/>
      <c r="AL48" s="378"/>
      <c r="AM48" s="379" t="s">
        <v>43</v>
      </c>
      <c r="AN48" s="380" t="s">
        <v>5</v>
      </c>
      <c r="AO48" s="866"/>
      <c r="AP48" s="867"/>
      <c r="AQ48" s="867"/>
      <c r="AR48" s="867"/>
      <c r="AS48" s="867"/>
      <c r="AT48" s="867"/>
      <c r="AU48" s="867"/>
      <c r="AV48" s="867"/>
      <c r="AW48" s="867"/>
      <c r="AX48" s="867"/>
      <c r="AY48" s="867"/>
      <c r="AZ48" s="867"/>
      <c r="BA48" s="867"/>
      <c r="BB48" s="868"/>
      <c r="BC48" s="282"/>
      <c r="BD48" s="282"/>
      <c r="BE48" s="282"/>
      <c r="BF48" s="282"/>
      <c r="BH48" s="854" t="s">
        <v>1190</v>
      </c>
      <c r="BI48" s="855"/>
      <c r="BJ48" s="297"/>
      <c r="BK48" s="297"/>
      <c r="BL48" s="297"/>
      <c r="BM48" s="297"/>
      <c r="BN48" s="297"/>
      <c r="BO48" s="297"/>
      <c r="BP48" s="297"/>
    </row>
    <row r="49" spans="1:68" ht="12">
      <c r="A49" s="797"/>
      <c r="B49" s="281"/>
      <c r="C49" s="936"/>
      <c r="D49" s="894"/>
      <c r="E49" s="894"/>
      <c r="F49" s="937"/>
      <c r="G49" s="899" t="s">
        <v>33</v>
      </c>
      <c r="H49" s="900"/>
      <c r="I49" s="900"/>
      <c r="J49" s="901"/>
      <c r="K49" s="911" t="s">
        <v>15</v>
      </c>
      <c r="L49" s="912"/>
      <c r="M49" s="928"/>
      <c r="N49" s="929"/>
      <c r="O49" s="906"/>
      <c r="P49" s="917" t="s">
        <v>19</v>
      </c>
      <c r="Q49" s="918"/>
      <c r="R49" s="808"/>
      <c r="S49" s="809"/>
      <c r="T49" s="809"/>
      <c r="U49" s="809"/>
      <c r="V49" s="810"/>
      <c r="W49" s="381" t="s">
        <v>44</v>
      </c>
      <c r="X49" s="814"/>
      <c r="Y49" s="815"/>
      <c r="Z49" s="816"/>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6"/>
      <c r="AP49" s="867"/>
      <c r="AQ49" s="867"/>
      <c r="AR49" s="867"/>
      <c r="AS49" s="867"/>
      <c r="AT49" s="867"/>
      <c r="AU49" s="867"/>
      <c r="AV49" s="867"/>
      <c r="AW49" s="867"/>
      <c r="AX49" s="867"/>
      <c r="AY49" s="867"/>
      <c r="AZ49" s="867"/>
      <c r="BA49" s="867"/>
      <c r="BB49" s="868"/>
      <c r="BC49" s="282"/>
      <c r="BD49" s="282"/>
      <c r="BE49" s="282"/>
      <c r="BF49" s="282"/>
      <c r="BH49" s="85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853"/>
      <c r="BJ49" s="393"/>
      <c r="BK49" s="393"/>
      <c r="BL49" s="297"/>
      <c r="BM49" s="297"/>
      <c r="BN49" s="297"/>
      <c r="BO49" s="297"/>
      <c r="BP49" s="297"/>
    </row>
    <row r="50" spans="1:68" ht="12">
      <c r="A50" s="797"/>
      <c r="B50" s="281"/>
      <c r="C50" s="936"/>
      <c r="D50" s="894"/>
      <c r="E50" s="894"/>
      <c r="F50" s="937"/>
      <c r="G50" s="902"/>
      <c r="H50" s="903"/>
      <c r="I50" s="903"/>
      <c r="J50" s="904"/>
      <c r="K50" s="911" t="s">
        <v>1</v>
      </c>
      <c r="L50" s="912"/>
      <c r="M50" s="913" t="str">
        <f>IF(ISBLANK('Blatt 0'!O57),"Blatt 0!",'Blatt 0'!O57)</f>
        <v>ST1120</v>
      </c>
      <c r="N50" s="914"/>
      <c r="O50" s="907"/>
      <c r="P50" s="917" t="s">
        <v>7</v>
      </c>
      <c r="Q50" s="918"/>
      <c r="R50" s="805" t="str">
        <f>IF(ISBLANK('Blatt 0'!X57),"Blatt 0!",'Blatt 0'!X57)</f>
        <v>GME</v>
      </c>
      <c r="S50" s="806"/>
      <c r="T50" s="806"/>
      <c r="U50" s="806"/>
      <c r="V50" s="807"/>
      <c r="W50" s="381" t="s">
        <v>8</v>
      </c>
      <c r="X50" s="817">
        <f>IF(ISBLANK('Blatt 0'!AA57),"Blatt 0!",'Blatt 0'!AA57)</f>
        <v>45013</v>
      </c>
      <c r="Y50" s="818"/>
      <c r="Z50" s="819"/>
      <c r="AA50" s="382"/>
      <c r="AB50" s="383"/>
      <c r="AC50" s="384"/>
      <c r="AD50" s="388"/>
      <c r="AE50" s="388"/>
      <c r="AF50" s="388"/>
      <c r="AG50" s="388"/>
      <c r="AH50" s="388"/>
      <c r="AI50" s="388"/>
      <c r="AJ50" s="388"/>
      <c r="AK50" s="388"/>
      <c r="AL50" s="394"/>
      <c r="AM50" s="395"/>
      <c r="AN50" s="396"/>
      <c r="AO50" s="866"/>
      <c r="AP50" s="867"/>
      <c r="AQ50" s="867"/>
      <c r="AR50" s="867"/>
      <c r="AS50" s="867"/>
      <c r="AT50" s="867"/>
      <c r="AU50" s="867"/>
      <c r="AV50" s="867"/>
      <c r="AW50" s="867"/>
      <c r="AX50" s="867"/>
      <c r="AY50" s="867"/>
      <c r="AZ50" s="867"/>
      <c r="BA50" s="867"/>
      <c r="BB50" s="868"/>
      <c r="BC50" s="282"/>
      <c r="BD50" s="282"/>
      <c r="BE50" s="282"/>
      <c r="BF50" s="282"/>
      <c r="BG50" s="397"/>
      <c r="BH50" s="852" t="e">
        <f>IF(O46&lt;R46,IF(E6="DE","Rücksprache Prozessmethodik","consult Process Methodology")," ")</f>
        <v>#DIV/0!</v>
      </c>
      <c r="BI50" s="853"/>
      <c r="BJ50" s="393"/>
      <c r="BK50" s="393"/>
    </row>
    <row r="51" spans="1:68" ht="12">
      <c r="A51" s="797"/>
      <c r="B51" s="281"/>
      <c r="C51" s="936"/>
      <c r="D51" s="894"/>
      <c r="E51" s="894"/>
      <c r="F51" s="937"/>
      <c r="G51" s="958" t="s">
        <v>14</v>
      </c>
      <c r="H51" s="959"/>
      <c r="I51" s="959"/>
      <c r="J51" s="960"/>
      <c r="K51" s="911" t="s">
        <v>17</v>
      </c>
      <c r="L51" s="912"/>
      <c r="M51" s="928"/>
      <c r="N51" s="929"/>
      <c r="O51" s="908" t="s">
        <v>18</v>
      </c>
      <c r="P51" s="932" t="s">
        <v>47</v>
      </c>
      <c r="Q51" s="912"/>
      <c r="R51" s="808"/>
      <c r="S51" s="809"/>
      <c r="T51" s="809"/>
      <c r="U51" s="809"/>
      <c r="V51" s="810"/>
      <c r="W51" s="398" t="s">
        <v>23</v>
      </c>
      <c r="X51" s="820"/>
      <c r="Y51" s="821"/>
      <c r="Z51" s="822"/>
      <c r="AA51" s="892" t="s">
        <v>1278</v>
      </c>
      <c r="AB51" s="893"/>
      <c r="AC51" s="882" t="str">
        <f>IF(ISBLANK('Blatt 0'!AF58),"Blatt 0!",'Blatt 0'!AF58)</f>
        <v>66-A53-96D 313785</v>
      </c>
      <c r="AD51" s="883"/>
      <c r="AE51" s="883"/>
      <c r="AF51" s="883"/>
      <c r="AG51" s="883"/>
      <c r="AH51" s="883"/>
      <c r="AI51" s="883"/>
      <c r="AJ51" s="883"/>
      <c r="AK51" s="883"/>
      <c r="AL51" s="884"/>
      <c r="AM51" s="888" t="s">
        <v>34</v>
      </c>
      <c r="AN51" s="890" t="s">
        <v>1188</v>
      </c>
      <c r="AO51" s="866"/>
      <c r="AP51" s="867"/>
      <c r="AQ51" s="867"/>
      <c r="AR51" s="867"/>
      <c r="AS51" s="867"/>
      <c r="AT51" s="867"/>
      <c r="AU51" s="867"/>
      <c r="AV51" s="867"/>
      <c r="AW51" s="867"/>
      <c r="AX51" s="867"/>
      <c r="AY51" s="867"/>
      <c r="AZ51" s="867"/>
      <c r="BA51" s="867"/>
      <c r="BB51" s="868"/>
      <c r="BC51" s="282"/>
      <c r="BD51" s="282"/>
      <c r="BE51" s="282"/>
      <c r="BF51" s="282"/>
      <c r="BG51" s="397"/>
      <c r="BH51" s="397"/>
      <c r="BI51" s="397"/>
      <c r="BJ51" s="397"/>
    </row>
    <row r="52" spans="1:68" ht="12">
      <c r="A52" s="797"/>
      <c r="B52" s="281"/>
      <c r="C52" s="846" t="str">
        <f>'Blatt 0'!B59</f>
        <v>AKTIENGESELLSCHAFT</v>
      </c>
      <c r="D52" s="847"/>
      <c r="E52" s="847"/>
      <c r="F52" s="848"/>
      <c r="G52" s="895" t="s">
        <v>48</v>
      </c>
      <c r="H52" s="896"/>
      <c r="I52" s="896"/>
      <c r="J52" s="897"/>
      <c r="K52" s="911" t="s">
        <v>6</v>
      </c>
      <c r="L52" s="912"/>
      <c r="M52" s="913" t="str">
        <f>IF(ISBLANK('Blatt 0'!O59),"Blatt 0!",'Blatt 0'!O59)</f>
        <v>VW 336</v>
      </c>
      <c r="N52" s="914"/>
      <c r="O52" s="909"/>
      <c r="P52" s="917" t="s">
        <v>10</v>
      </c>
      <c r="Q52" s="918"/>
      <c r="R52" s="805" t="str">
        <f>IF(ISBLANK('Blatt 0'!X59),"Blatt 0!",'Blatt 0'!X59)</f>
        <v>GME</v>
      </c>
      <c r="S52" s="806"/>
      <c r="T52" s="806"/>
      <c r="U52" s="806"/>
      <c r="V52" s="807"/>
      <c r="W52" s="398" t="s">
        <v>9</v>
      </c>
      <c r="X52" s="834" t="str">
        <f>IF(ISBLANK('Blatt 0'!AA59),"Blatt 0!",'Blatt 0'!AA59)</f>
        <v>Blatt 0!</v>
      </c>
      <c r="Y52" s="835"/>
      <c r="Z52" s="836"/>
      <c r="AA52" s="892"/>
      <c r="AB52" s="893"/>
      <c r="AC52" s="882"/>
      <c r="AD52" s="883"/>
      <c r="AE52" s="883"/>
      <c r="AF52" s="883"/>
      <c r="AG52" s="883"/>
      <c r="AH52" s="883"/>
      <c r="AI52" s="883"/>
      <c r="AJ52" s="883"/>
      <c r="AK52" s="883"/>
      <c r="AL52" s="884"/>
      <c r="AM52" s="888"/>
      <c r="AN52" s="890"/>
      <c r="AO52" s="866"/>
      <c r="AP52" s="867"/>
      <c r="AQ52" s="867"/>
      <c r="AR52" s="867"/>
      <c r="AS52" s="867"/>
      <c r="AT52" s="867"/>
      <c r="AU52" s="867"/>
      <c r="AV52" s="867"/>
      <c r="AW52" s="867"/>
      <c r="AX52" s="867"/>
      <c r="AY52" s="867"/>
      <c r="AZ52" s="867"/>
      <c r="BA52" s="867"/>
      <c r="BB52" s="868"/>
      <c r="BC52" s="282"/>
      <c r="BD52" s="282"/>
      <c r="BE52" s="282"/>
      <c r="BF52" s="282"/>
      <c r="BG52" s="397"/>
      <c r="BH52" s="397"/>
      <c r="BI52" s="397"/>
      <c r="BJ52" s="397"/>
    </row>
    <row r="53" spans="1:68" ht="12.75" thickBot="1">
      <c r="A53" s="798"/>
      <c r="B53" s="281"/>
      <c r="C53" s="849"/>
      <c r="D53" s="850"/>
      <c r="E53" s="850"/>
      <c r="F53" s="851"/>
      <c r="G53" s="710"/>
      <c r="H53" s="711"/>
      <c r="I53" s="711"/>
      <c r="J53" s="898"/>
      <c r="K53" s="919" t="s">
        <v>16</v>
      </c>
      <c r="L53" s="920"/>
      <c r="M53" s="915"/>
      <c r="N53" s="916"/>
      <c r="O53" s="910"/>
      <c r="P53" s="1035" t="s">
        <v>49</v>
      </c>
      <c r="Q53" s="1036"/>
      <c r="R53" s="808"/>
      <c r="S53" s="809"/>
      <c r="T53" s="809"/>
      <c r="U53" s="809"/>
      <c r="V53" s="810"/>
      <c r="W53" s="399" t="s">
        <v>24</v>
      </c>
      <c r="X53" s="814"/>
      <c r="Y53" s="815"/>
      <c r="Z53" s="816"/>
      <c r="AA53" s="400"/>
      <c r="AB53" s="401"/>
      <c r="AC53" s="885"/>
      <c r="AD53" s="886"/>
      <c r="AE53" s="886"/>
      <c r="AF53" s="886"/>
      <c r="AG53" s="886"/>
      <c r="AH53" s="886"/>
      <c r="AI53" s="886"/>
      <c r="AJ53" s="886"/>
      <c r="AK53" s="886"/>
      <c r="AL53" s="887"/>
      <c r="AM53" s="889"/>
      <c r="AN53" s="891"/>
      <c r="AO53" s="869"/>
      <c r="AP53" s="870"/>
      <c r="AQ53" s="870"/>
      <c r="AR53" s="870"/>
      <c r="AS53" s="870"/>
      <c r="AT53" s="870"/>
      <c r="AU53" s="870"/>
      <c r="AV53" s="870"/>
      <c r="AW53" s="870"/>
      <c r="AX53" s="870"/>
      <c r="AY53" s="870"/>
      <c r="AZ53" s="870"/>
      <c r="BA53" s="870"/>
      <c r="BB53" s="871"/>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7" t="s">
        <v>1691</v>
      </c>
      <c r="N54" s="1027"/>
      <c r="O54" s="404" t="s">
        <v>1910</v>
      </c>
      <c r="P54" s="404"/>
      <c r="Q54" s="403"/>
      <c r="R54" s="403"/>
      <c r="S54" s="403"/>
      <c r="T54" s="403"/>
      <c r="U54" s="403"/>
      <c r="V54" s="403"/>
      <c r="W54" s="403"/>
      <c r="X54" s="403"/>
      <c r="Y54" s="403"/>
      <c r="Z54" s="403"/>
      <c r="AA54" s="403"/>
      <c r="AB54" s="403"/>
      <c r="AC54" s="405"/>
      <c r="AD54" s="405"/>
      <c r="AF54" s="894" t="s">
        <v>1269</v>
      </c>
      <c r="AG54" s="894"/>
      <c r="AH54" s="1037" t="s">
        <v>1714</v>
      </c>
      <c r="AI54" s="1037"/>
      <c r="AJ54" s="1037"/>
      <c r="AK54" s="1038" t="s">
        <v>1268</v>
      </c>
      <c r="AL54" s="1038"/>
      <c r="AM54" s="1039"/>
      <c r="AN54" s="1039"/>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43" priority="428" stopIfTrue="1" operator="equal">
      <formula>"Ergebnis des Druckbereichs i.O."</formula>
    </cfRule>
    <cfRule type="cellIs" dxfId="142" priority="429" stopIfTrue="1" operator="equal">
      <formula>"Ergebnis des Druckbereichs nicht i.O."</formula>
    </cfRule>
  </conditionalFormatting>
  <conditionalFormatting sqref="BH47">
    <cfRule type="cellIs" dxfId="141" priority="426" stopIfTrue="1" operator="equal">
      <formula>" "</formula>
    </cfRule>
    <cfRule type="cellIs" dxfId="140" priority="427" stopIfTrue="1" operator="equal">
      <formula>"Rücksprache Prozessmethodik"</formula>
    </cfRule>
  </conditionalFormatting>
  <conditionalFormatting sqref="X46">
    <cfRule type="cellIs" dxfId="139" priority="420" stopIfTrue="1" operator="notEqual">
      <formula>"39D 1978-2"</formula>
    </cfRule>
    <cfRule type="containsText" dxfId="138" priority="421" stopIfTrue="1" operator="containsText" text="39D 1978-2">
      <formula>NOT(ISERROR(SEARCH("39D 1978-2",X46)))</formula>
    </cfRule>
    <cfRule type="expression" priority="422" stopIfTrue="1">
      <formula>1</formula>
    </cfRule>
  </conditionalFormatting>
  <conditionalFormatting sqref="AA46">
    <cfRule type="cellIs" dxfId="137" priority="419" stopIfTrue="1" operator="notEqual">
      <formula>6</formula>
    </cfRule>
  </conditionalFormatting>
  <conditionalFormatting sqref="AB46">
    <cfRule type="cellIs" dxfId="136" priority="418" stopIfTrue="1" operator="notEqual">
      <formula>50</formula>
    </cfRule>
  </conditionalFormatting>
  <conditionalFormatting sqref="AC46">
    <cfRule type="cellIs" dxfId="135" priority="417" stopIfTrue="1" operator="notEqual">
      <formula>6</formula>
    </cfRule>
  </conditionalFormatting>
  <conditionalFormatting sqref="AD46">
    <cfRule type="cellIs" dxfId="134" priority="414" stopIfTrue="1" operator="notEqual">
      <formula>50</formula>
    </cfRule>
  </conditionalFormatting>
  <conditionalFormatting sqref="CB19:CB43">
    <cfRule type="cellIs" dxfId="133" priority="439" stopIfTrue="1" operator="equal">
      <formula>$AC$19</formula>
    </cfRule>
  </conditionalFormatting>
  <conditionalFormatting sqref="G19:G43">
    <cfRule type="expression" dxfId="132" priority="413" stopIfTrue="1">
      <formula>OR(AND(ISNUMBER($P19),ISBLANK($G19)),AND(ISTEXT($G19),ISBLANK($P19)))</formula>
    </cfRule>
  </conditionalFormatting>
  <conditionalFormatting sqref="BH46">
    <cfRule type="cellIs" dxfId="131" priority="397" operator="equal">
      <formula>"pressure level not allowed"</formula>
    </cfRule>
    <cfRule type="cellIs" dxfId="130" priority="398" operator="equal">
      <formula>"presure level allowed"</formula>
    </cfRule>
    <cfRule type="cellIs" dxfId="129" priority="399" operator="equal">
      <formula>"Max. Force of gun acc.Drw.exceeded!"</formula>
    </cfRule>
    <cfRule type="cellIs" dxfId="128" priority="409" stopIfTrue="1" operator="equal">
      <formula>"Zangenkraft lt.Zangenzeichnung überschritten!"</formula>
    </cfRule>
  </conditionalFormatting>
  <conditionalFormatting sqref="AE19:AE43">
    <cfRule type="expression" dxfId="127" priority="405">
      <formula>ISERROR(AE19)</formula>
    </cfRule>
  </conditionalFormatting>
  <conditionalFormatting sqref="BH47">
    <cfRule type="cellIs" dxfId="126" priority="396" operator="equal">
      <formula>"consult process methodology"</formula>
    </cfRule>
  </conditionalFormatting>
  <conditionalFormatting sqref="W47">
    <cfRule type="expression" dxfId="125" priority="440" stopIfTrue="1">
      <formula>ISBLANK($W$47)</formula>
    </cfRule>
  </conditionalFormatting>
  <conditionalFormatting sqref="G6">
    <cfRule type="cellIs" dxfId="124" priority="395" operator="equal">
      <formula>"-"</formula>
    </cfRule>
  </conditionalFormatting>
  <conditionalFormatting sqref="H44">
    <cfRule type="cellIs" dxfId="123" priority="394" operator="equal">
      <formula>"Zangentyp?"</formula>
    </cfRule>
  </conditionalFormatting>
  <conditionalFormatting sqref="BH49">
    <cfRule type="cellIs" dxfId="122" priority="392" stopIfTrue="1" operator="equal">
      <formula>"Zangen/Motorauslegung i.O."</formula>
    </cfRule>
    <cfRule type="cellIs" dxfId="121" priority="393" stopIfTrue="1" operator="equal">
      <formula>"Zangen/Motorauslegung nicht i.O."</formula>
    </cfRule>
  </conditionalFormatting>
  <conditionalFormatting sqref="BH49 BJ49:BK49">
    <cfRule type="cellIs" dxfId="120" priority="386" operator="equal">
      <formula>"Gun/Electromotor Design not O.K."</formula>
    </cfRule>
    <cfRule type="cellIs" dxfId="119" priority="387" operator="equal">
      <formula>"Gun/Electromotor Design O.K."</formula>
    </cfRule>
    <cfRule type="cellIs" dxfId="118" priority="388" operator="equal">
      <formula>"incorrect Gun Type/Gun Body/Gun Measure"</formula>
    </cfRule>
    <cfRule type="cellIs" dxfId="117" priority="389" operator="equal">
      <formula>"Max. Force of Gun acc.Drw.exceeded!"</formula>
    </cfRule>
    <cfRule type="cellIs" dxfId="116" priority="390" operator="equal">
      <formula>"max. Zangenkraft lt.Zeichnung überschritten!"</formula>
    </cfRule>
    <cfRule type="cellIs" dxfId="115" priority="391" stopIfTrue="1" operator="equal">
      <formula>"Zangentyp/-grundkörper/-maße falsch"</formula>
    </cfRule>
  </conditionalFormatting>
  <conditionalFormatting sqref="BH50">
    <cfRule type="cellIs" dxfId="114" priority="384" stopIfTrue="1" operator="equal">
      <formula>" "</formula>
    </cfRule>
    <cfRule type="cellIs" dxfId="113" priority="385" stopIfTrue="1" operator="equal">
      <formula>"Rücksprache Prozessmethodik"</formula>
    </cfRule>
  </conditionalFormatting>
  <conditionalFormatting sqref="T46">
    <cfRule type="cellIs" dxfId="112" priority="374" stopIfTrue="1" operator="equal">
      <formula>" "</formula>
    </cfRule>
    <cfRule type="cellIs" dxfId="111" priority="375" stopIfTrue="1" operator="equal">
      <formula>"Rücksprache Prozessmethodik"</formula>
    </cfRule>
  </conditionalFormatting>
  <conditionalFormatting sqref="T46">
    <cfRule type="cellIs" dxfId="110" priority="373" operator="equal">
      <formula>"consult process methodology"</formula>
    </cfRule>
  </conditionalFormatting>
  <conditionalFormatting sqref="T45">
    <cfRule type="cellIs" dxfId="109" priority="371" stopIfTrue="1" operator="equal">
      <formula>"Zangen/Motorauslegung i.O."</formula>
    </cfRule>
    <cfRule type="cellIs" dxfId="108" priority="372" stopIfTrue="1" operator="equal">
      <formula>"Zangen/Motorauslegung nicht i.O."</formula>
    </cfRule>
  </conditionalFormatting>
  <conditionalFormatting sqref="T45:W45">
    <cfRule type="cellIs" dxfId="107" priority="331" operator="equal">
      <formula>"Zangentyp/Guntype?"</formula>
    </cfRule>
    <cfRule type="cellIs" dxfId="106" priority="361" operator="equal">
      <formula>"Pressure level not allowed"</formula>
    </cfRule>
    <cfRule type="cellIs" dxfId="105" priority="362" operator="equal">
      <formula>"Presure level allowed"</formula>
    </cfRule>
    <cfRule type="cellIs" dxfId="104" priority="363" operator="equal">
      <formula>"Ergebnis des Druckbereichs nicht i.O."</formula>
    </cfRule>
    <cfRule type="cellIs" dxfId="103" priority="364" operator="equal">
      <formula>"Ergebnis des Druckbereichs i.O."</formula>
    </cfRule>
    <cfRule type="cellIs" dxfId="102" priority="365" operator="equal">
      <formula>"Gun/Electromotor Design not O.K."</formula>
    </cfRule>
    <cfRule type="cellIs" dxfId="101" priority="366" operator="equal">
      <formula>"Gun/Electromotor Design O.K."</formula>
    </cfRule>
    <cfRule type="cellIs" dxfId="100" priority="367" operator="equal">
      <formula>"incorrect Gun Type/Gun Body/Gun Measure"</formula>
    </cfRule>
    <cfRule type="cellIs" dxfId="99" priority="368" operator="equal">
      <formula>"Max. Force of Gun acc.Drw.exceeded!"</formula>
    </cfRule>
    <cfRule type="cellIs" dxfId="98" priority="369" operator="equal">
      <formula>"max. Zangenkraft lt.Zeichnung überschritten!"</formula>
    </cfRule>
    <cfRule type="cellIs" dxfId="97" priority="370" stopIfTrue="1" operator="equal">
      <formula>"Zangentyp/-grundkörper/-maße falsch"</formula>
    </cfRule>
  </conditionalFormatting>
  <conditionalFormatting sqref="E47">
    <cfRule type="expression" dxfId="96" priority="360">
      <formula>$G$6="SPZ"</formula>
    </cfRule>
  </conditionalFormatting>
  <conditionalFormatting sqref="E44">
    <cfRule type="expression" dxfId="95" priority="353">
      <formula>$G$6="RZ"</formula>
    </cfRule>
  </conditionalFormatting>
  <conditionalFormatting sqref="E46">
    <cfRule type="expression" dxfId="94" priority="214">
      <formula>$G$6="RZ"</formula>
    </cfRule>
  </conditionalFormatting>
  <conditionalFormatting sqref="L44">
    <cfRule type="expression" dxfId="93" priority="300">
      <formula>ISERR($L$46)</formula>
    </cfRule>
  </conditionalFormatting>
  <conditionalFormatting sqref="L45">
    <cfRule type="expression" dxfId="92" priority="299">
      <formula>ISERR($L$46)</formula>
    </cfRule>
  </conditionalFormatting>
  <conditionalFormatting sqref="Y19">
    <cfRule type="expression" dxfId="91" priority="281">
      <formula>ISERR(AE19)</formula>
    </cfRule>
  </conditionalFormatting>
  <conditionalFormatting sqref="Y20:Y43">
    <cfRule type="expression" dxfId="90" priority="280">
      <formula>ISERR(AE20)</formula>
    </cfRule>
  </conditionalFormatting>
  <conditionalFormatting sqref="S41:S43">
    <cfRule type="expression" dxfId="89" priority="271">
      <formula>$U41="t2?"</formula>
    </cfRule>
  </conditionalFormatting>
  <conditionalFormatting sqref="AN45:AN46">
    <cfRule type="cellIs" dxfId="88" priority="237" operator="equal">
      <formula>"Ja"</formula>
    </cfRule>
  </conditionalFormatting>
  <conditionalFormatting sqref="AE45:AE46">
    <cfRule type="expression" dxfId="87" priority="444">
      <formula>AN45="Ja"</formula>
    </cfRule>
  </conditionalFormatting>
  <conditionalFormatting sqref="AE47">
    <cfRule type="expression" dxfId="86" priority="445">
      <formula>AND(AN45="Ja",ISBLANK($AG$47))</formula>
    </cfRule>
  </conditionalFormatting>
  <conditionalFormatting sqref="AJ47">
    <cfRule type="expression" dxfId="85" priority="446">
      <formula>AND(AN45="Ja",ISBLANK($AL$47))</formula>
    </cfRule>
  </conditionalFormatting>
  <conditionalFormatting sqref="AG47">
    <cfRule type="expression" dxfId="84" priority="236">
      <formula>AND(AN45="Ja",ISBLANK($AG$47))</formula>
    </cfRule>
  </conditionalFormatting>
  <conditionalFormatting sqref="AL47">
    <cfRule type="expression" dxfId="83" priority="235">
      <formula>AND(AN45="Ja",ISBLANK($AL$47))</formula>
    </cfRule>
  </conditionalFormatting>
  <conditionalFormatting sqref="G8">
    <cfRule type="expression" dxfId="82" priority="234">
      <formula>NOT(OR(G8="J",G8="N"))</formula>
    </cfRule>
  </conditionalFormatting>
  <conditionalFormatting sqref="S31:S39">
    <cfRule type="expression" dxfId="81" priority="228">
      <formula>$R31="t1?"</formula>
    </cfRule>
  </conditionalFormatting>
  <conditionalFormatting sqref="S40">
    <cfRule type="expression" dxfId="80" priority="227">
      <formula>$U40="t2?"</formula>
    </cfRule>
  </conditionalFormatting>
  <conditionalFormatting sqref="H47">
    <cfRule type="expression" dxfId="79" priority="222">
      <formula>$G$6="SPZ"</formula>
    </cfRule>
  </conditionalFormatting>
  <conditionalFormatting sqref="L47">
    <cfRule type="expression" dxfId="78" priority="221">
      <formula>$G$6="SPZ"</formula>
    </cfRule>
  </conditionalFormatting>
  <conditionalFormatting sqref="O46">
    <cfRule type="expression" dxfId="77" priority="220">
      <formula>$G$6="SPZ"</formula>
    </cfRule>
  </conditionalFormatting>
  <conditionalFormatting sqref="O47">
    <cfRule type="expression" dxfId="76" priority="219">
      <formula>$G$6="SPZ"</formula>
    </cfRule>
  </conditionalFormatting>
  <conditionalFormatting sqref="R46">
    <cfRule type="expression" dxfId="75" priority="218">
      <formula>$G$6="SPZ"</formula>
    </cfRule>
  </conditionalFormatting>
  <conditionalFormatting sqref="R47">
    <cfRule type="expression" dxfId="74" priority="217">
      <formula>$G$6="SPZ"</formula>
    </cfRule>
  </conditionalFormatting>
  <conditionalFormatting sqref="X47">
    <cfRule type="expression" dxfId="73" priority="216">
      <formula>$G$6="SPZ"</formula>
    </cfRule>
  </conditionalFormatting>
  <conditionalFormatting sqref="AA47">
    <cfRule type="expression" dxfId="72" priority="215">
      <formula>$G$6="SPZ"</formula>
    </cfRule>
  </conditionalFormatting>
  <conditionalFormatting sqref="H46">
    <cfRule type="expression" dxfId="71" priority="213">
      <formula>$G$6="RZ"</formula>
    </cfRule>
  </conditionalFormatting>
  <conditionalFormatting sqref="O44">
    <cfRule type="expression" dxfId="70" priority="212">
      <formula>$G$6="RZ"</formula>
    </cfRule>
  </conditionalFormatting>
  <conditionalFormatting sqref="O45">
    <cfRule type="expression" dxfId="69" priority="211">
      <formula>$G$6="RZ"</formula>
    </cfRule>
  </conditionalFormatting>
  <conditionalFormatting sqref="R44">
    <cfRule type="expression" dxfId="68" priority="210">
      <formula>$G$6="RZ"</formula>
    </cfRule>
  </conditionalFormatting>
  <conditionalFormatting sqref="R45">
    <cfRule type="expression" dxfId="67" priority="209">
      <formula>$G$6="RZ"</formula>
    </cfRule>
  </conditionalFormatting>
  <conditionalFormatting sqref="C44:D45">
    <cfRule type="expression" dxfId="66" priority="208">
      <formula>$G$6="RZ"</formula>
    </cfRule>
  </conditionalFormatting>
  <conditionalFormatting sqref="C46:D46">
    <cfRule type="expression" dxfId="65" priority="207">
      <formula>$G$6="RZ"</formula>
    </cfRule>
  </conditionalFormatting>
  <conditionalFormatting sqref="F46:G46">
    <cfRule type="expression" dxfId="64" priority="206">
      <formula>$G$6="RZ"</formula>
    </cfRule>
  </conditionalFormatting>
  <conditionalFormatting sqref="M45:N45">
    <cfRule type="expression" dxfId="63" priority="205">
      <formula>$G$6="RZ"</formula>
    </cfRule>
  </conditionalFormatting>
  <conditionalFormatting sqref="P45:Q45">
    <cfRule type="expression" dxfId="62" priority="204">
      <formula>$G$6="RZ"</formula>
    </cfRule>
  </conditionalFormatting>
  <conditionalFormatting sqref="M44:N44">
    <cfRule type="expression" dxfId="61" priority="203">
      <formula>$G$6="RZ"</formula>
    </cfRule>
  </conditionalFormatting>
  <conditionalFormatting sqref="P44:Q44">
    <cfRule type="expression" dxfId="60" priority="202">
      <formula>$G$6="RZ"</formula>
    </cfRule>
  </conditionalFormatting>
  <conditionalFormatting sqref="C47:D47">
    <cfRule type="expression" dxfId="59" priority="201">
      <formula>$G$6="SPZ"</formula>
    </cfRule>
  </conditionalFormatting>
  <conditionalFormatting sqref="F47:G47">
    <cfRule type="expression" dxfId="58" priority="200">
      <formula>$G$6="SPZ"</formula>
    </cfRule>
  </conditionalFormatting>
  <conditionalFormatting sqref="I47">
    <cfRule type="expression" dxfId="57" priority="199">
      <formula>$G$6="SPZ"</formula>
    </cfRule>
  </conditionalFormatting>
  <conditionalFormatting sqref="M46:N46">
    <cfRule type="expression" dxfId="56" priority="198">
      <formula>$G$6="SPZ"</formula>
    </cfRule>
  </conditionalFormatting>
  <conditionalFormatting sqref="M47:N47">
    <cfRule type="expression" dxfId="55" priority="197">
      <formula>$G$6="SPZ"</formula>
    </cfRule>
  </conditionalFormatting>
  <conditionalFormatting sqref="P47:Q47">
    <cfRule type="expression" dxfId="54" priority="196">
      <formula>$G$6="SPZ"</formula>
    </cfRule>
  </conditionalFormatting>
  <conditionalFormatting sqref="P46:Q46">
    <cfRule type="expression" dxfId="53" priority="195">
      <formula>$G$6="SPZ"</formula>
    </cfRule>
  </conditionalFormatting>
  <conditionalFormatting sqref="AF45:AM46">
    <cfRule type="expression" dxfId="52" priority="448">
      <formula>BG45="Ja"</formula>
    </cfRule>
  </conditionalFormatting>
  <conditionalFormatting sqref="AF47">
    <cfRule type="expression" dxfId="51" priority="450">
      <formula>AND(BG45="Ja",ISBLANK($AG$47))</formula>
    </cfRule>
  </conditionalFormatting>
  <conditionalFormatting sqref="AK47">
    <cfRule type="expression" dxfId="50" priority="452">
      <formula>AND(BG45="Ja",ISBLANK($AL$47))</formula>
    </cfRule>
  </conditionalFormatting>
  <conditionalFormatting sqref="AH47:AI47">
    <cfRule type="expression" dxfId="49" priority="454">
      <formula>AND(BG45="Ja",ISBLANK($AG$47))</formula>
    </cfRule>
  </conditionalFormatting>
  <conditionalFormatting sqref="AM47:AN47">
    <cfRule type="expression" dxfId="48" priority="459">
      <formula>AND(BG45="Ja",ISBLANK($AL$47))</formula>
    </cfRule>
  </conditionalFormatting>
  <conditionalFormatting sqref="W21">
    <cfRule type="expression" dxfId="47" priority="151">
      <formula>CELL("Schutz",W21)</formula>
    </cfRule>
  </conditionalFormatting>
  <conditionalFormatting sqref="V21">
    <cfRule type="expression" dxfId="46" priority="152">
      <formula>$R21="t1?"</formula>
    </cfRule>
  </conditionalFormatting>
  <conditionalFormatting sqref="V22 V31:V43 V26:V29">
    <cfRule type="expression" dxfId="45" priority="180">
      <formula>$R22="t1?"</formula>
    </cfRule>
  </conditionalFormatting>
  <conditionalFormatting sqref="P41:P43">
    <cfRule type="expression" dxfId="44" priority="175">
      <formula>$U41="t2?"</formula>
    </cfRule>
  </conditionalFormatting>
  <conditionalFormatting sqref="P31:P39">
    <cfRule type="expression" dxfId="43" priority="173">
      <formula>$R31="t1?"</formula>
    </cfRule>
  </conditionalFormatting>
  <conditionalFormatting sqref="P40">
    <cfRule type="expression" dxfId="42" priority="172">
      <formula>$U40="t2?"</formula>
    </cfRule>
  </conditionalFormatting>
  <conditionalFormatting sqref="AE44:AN44">
    <cfRule type="containsText" dxfId="41" priority="150"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40" priority="143">
      <formula>$R19="t1?"</formula>
    </cfRule>
  </conditionalFormatting>
  <conditionalFormatting sqref="P20:P28">
    <cfRule type="expression" dxfId="39" priority="142">
      <formula>$R20="t1?"</formula>
    </cfRule>
  </conditionalFormatting>
  <conditionalFormatting sqref="P19:P28">
    <cfRule type="expression" dxfId="38" priority="139">
      <formula>CELL("Schutz",P19)</formula>
    </cfRule>
  </conditionalFormatting>
  <conditionalFormatting sqref="V19">
    <cfRule type="expression" dxfId="37" priority="132">
      <formula>$R19="t1?"</formula>
    </cfRule>
  </conditionalFormatting>
  <conditionalFormatting sqref="V19">
    <cfRule type="expression" dxfId="36" priority="131">
      <formula>CELL("Schutz",V19)</formula>
    </cfRule>
  </conditionalFormatting>
  <conditionalFormatting sqref="P29">
    <cfRule type="expression" dxfId="35" priority="129">
      <formula>$R29="t1?"</formula>
    </cfRule>
  </conditionalFormatting>
  <conditionalFormatting sqref="S29">
    <cfRule type="expression" dxfId="34" priority="128">
      <formula>$R29="t1?"</formula>
    </cfRule>
  </conditionalFormatting>
  <conditionalFormatting sqref="P30">
    <cfRule type="expression" dxfId="33" priority="127">
      <formula>$R30="t1?"</formula>
    </cfRule>
  </conditionalFormatting>
  <conditionalFormatting sqref="S30">
    <cfRule type="expression" dxfId="32" priority="126">
      <formula>$R30="t1?"</formula>
    </cfRule>
  </conditionalFormatting>
  <conditionalFormatting sqref="V30">
    <cfRule type="expression" dxfId="31" priority="125">
      <formula>$R30="t1?"</formula>
    </cfRule>
  </conditionalFormatting>
  <conditionalFormatting sqref="I19:I43">
    <cfRule type="aboveAverage" dxfId="30" priority="123" aboveAverage="0"/>
    <cfRule type="aboveAverage" dxfId="29" priority="124"/>
  </conditionalFormatting>
  <conditionalFormatting sqref="G20:G43">
    <cfRule type="expression" dxfId="28" priority="117">
      <formula>AND(BI10=TRUE,BH10=TRUE)</formula>
    </cfRule>
  </conditionalFormatting>
  <conditionalFormatting sqref="G19:G43">
    <cfRule type="expression" dxfId="27" priority="460">
      <formula>AND(G19="X",$BJ$9=TRUE,$BI$9=TRUE)</formula>
    </cfRule>
  </conditionalFormatting>
  <conditionalFormatting sqref="G20:G43">
    <cfRule type="expression" dxfId="26" priority="461">
      <formula>AND($BJ$9=TRUE,$BI$9=TRUE)</formula>
    </cfRule>
  </conditionalFormatting>
  <conditionalFormatting sqref="V25">
    <cfRule type="expression" dxfId="25" priority="104">
      <formula>$R25="t1?"</formula>
    </cfRule>
  </conditionalFormatting>
  <conditionalFormatting sqref="W25:W27">
    <cfRule type="expression" dxfId="24" priority="92">
      <formula>CELL("Schutz",W25)</formula>
    </cfRule>
  </conditionalFormatting>
  <conditionalFormatting sqref="S19:S28">
    <cfRule type="expression" dxfId="23" priority="64">
      <formula>$R19="t1?"</formula>
    </cfRule>
  </conditionalFormatting>
  <conditionalFormatting sqref="S19:S28">
    <cfRule type="expression" dxfId="22" priority="63">
      <formula>CELL("Schutz",S19)</formula>
    </cfRule>
  </conditionalFormatting>
  <conditionalFormatting sqref="V24">
    <cfRule type="expression" dxfId="21" priority="46">
      <formula>$R24="t1?"</formula>
    </cfRule>
  </conditionalFormatting>
  <conditionalFormatting sqref="V24">
    <cfRule type="expression" dxfId="20" priority="45">
      <formula>CELL("Schutz",V24)</formula>
    </cfRule>
  </conditionalFormatting>
  <conditionalFormatting sqref="W24">
    <cfRule type="expression" dxfId="19" priority="44">
      <formula>CELL("Schutz",W24)</formula>
    </cfRule>
  </conditionalFormatting>
  <conditionalFormatting sqref="W23">
    <cfRule type="expression" dxfId="18" priority="42">
      <formula>CELL("Schutz",W23)</formula>
    </cfRule>
  </conditionalFormatting>
  <conditionalFormatting sqref="V23">
    <cfRule type="expression" dxfId="17" priority="41">
      <formula>$R23="t1?"</formula>
    </cfRule>
  </conditionalFormatting>
  <conditionalFormatting sqref="V23">
    <cfRule type="expression" dxfId="16" priority="40">
      <formula>CELL("Schutz",V23)</formula>
    </cfRule>
  </conditionalFormatting>
  <conditionalFormatting sqref="V20">
    <cfRule type="expression" dxfId="15" priority="33">
      <formula>$R20="t1?"</formula>
    </cfRule>
  </conditionalFormatting>
  <conditionalFormatting sqref="Q19">
    <cfRule type="expression" dxfId="14" priority="29">
      <formula>CELL("Schutz",Q19)</formula>
    </cfRule>
  </conditionalFormatting>
  <conditionalFormatting sqref="W19">
    <cfRule type="expression" dxfId="13" priority="27">
      <formula>CELL("Schutz",W19)</formula>
    </cfRule>
  </conditionalFormatting>
  <conditionalFormatting sqref="T20">
    <cfRule type="expression" dxfId="12" priority="19">
      <formula>CELL("Schutz",T20)</formula>
    </cfRule>
  </conditionalFormatting>
  <conditionalFormatting sqref="AR8:AU8">
    <cfRule type="expression" dxfId="11" priority="13">
      <formula>OR(AND(ISBLANK($AR$8),COUNTBLANK($AH$8:$AN$8)&lt;7),AND(ISBLANK($AR$8),$BF$44&gt;0))</formula>
    </cfRule>
  </conditionalFormatting>
  <conditionalFormatting sqref="AY8:BB8">
    <cfRule type="expression" dxfId="10" priority="11">
      <formula>OR(AND(ISBLANK($AY$8),COUNTBLANK($AH$8:$AN$8)&lt;7),AND(ISBLANK($AY$8),$BF$44&gt;0))</formula>
    </cfRule>
  </conditionalFormatting>
  <conditionalFormatting sqref="AO8:AQ8">
    <cfRule type="expression" dxfId="9" priority="10">
      <formula>OR(COUNTBLANK($AH$8:$AN$8)&lt;7,$BF$44&gt;0)</formula>
    </cfRule>
  </conditionalFormatting>
  <conditionalFormatting sqref="AV8:AX8">
    <cfRule type="expression" dxfId="8" priority="9">
      <formula>OR(COUNTBLANK($AH$8:$AN$8)&lt;7,$BF$44&gt;0)</formula>
    </cfRule>
  </conditionalFormatting>
  <conditionalFormatting sqref="AK8">
    <cfRule type="expression" dxfId="7" priority="8">
      <formula>AND($BF$44&gt;0,ISBLANK(AK8))</formula>
    </cfRule>
  </conditionalFormatting>
  <conditionalFormatting sqref="AL8">
    <cfRule type="expression" dxfId="6" priority="7">
      <formula>AND($BF$44&gt;0,ISBLANK(AL8))</formula>
    </cfRule>
  </conditionalFormatting>
  <conditionalFormatting sqref="AM8">
    <cfRule type="expression" dxfId="5" priority="6">
      <formula>AND($BF$44&gt;0,ISBLANK(AM8))</formula>
    </cfRule>
  </conditionalFormatting>
  <conditionalFormatting sqref="AN8">
    <cfRule type="expression" dxfId="4" priority="5">
      <formula>AND($BF$44&gt;0,ISBLANK(AN8))</formula>
    </cfRule>
  </conditionalFormatting>
  <conditionalFormatting sqref="W20">
    <cfRule type="expression" dxfId="3" priority="4">
      <formula>CELL("Schutz",W20)</formula>
    </cfRule>
  </conditionalFormatting>
  <conditionalFormatting sqref="Q20:Q27">
    <cfRule type="expression" dxfId="2" priority="3">
      <formula>CELL("Schutz",Q20)</formula>
    </cfRule>
  </conditionalFormatting>
  <conditionalFormatting sqref="T19">
    <cfRule type="expression" dxfId="1" priority="2">
      <formula>CELL("Schutz",T19)</formula>
    </cfRule>
  </conditionalFormatting>
  <conditionalFormatting sqref="T21:T27">
    <cfRule type="expression" dxfId="0" priority="1">
      <formula>CELL("Schutz",T21)</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1731</v>
      </c>
      <c r="B1" s="9" t="s">
        <v>1670</v>
      </c>
      <c r="C1" s="14"/>
      <c r="D1" s="1087" t="s">
        <v>1669</v>
      </c>
      <c r="E1" s="1087" t="s">
        <v>1732</v>
      </c>
    </row>
    <row r="2" spans="1:5" ht="15" customHeight="1">
      <c r="A2" s="16"/>
      <c r="B2" s="17"/>
      <c r="C2" s="1099" t="s">
        <v>1787</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1805</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1807</v>
      </c>
      <c r="B1479" s="7">
        <v>1000</v>
      </c>
      <c r="C1479" s="1084" t="s">
        <v>1806</v>
      </c>
      <c r="D1479" s="437"/>
      <c r="E1479" s="260"/>
    </row>
    <row r="1480" spans="1:5" ht="12.75" customHeight="1">
      <c r="A1480" s="256" t="s">
        <v>1808</v>
      </c>
      <c r="B1480" s="489">
        <v>1000</v>
      </c>
      <c r="C1480" s="1084"/>
      <c r="D1480" s="437"/>
      <c r="E1480" s="260"/>
    </row>
    <row r="1481" spans="1:5" ht="12.75" customHeight="1">
      <c r="A1481" s="256" t="s">
        <v>1809</v>
      </c>
      <c r="B1481" s="489">
        <v>1000</v>
      </c>
      <c r="C1481" s="1084"/>
      <c r="D1481" s="437"/>
      <c r="E1481" s="260"/>
    </row>
    <row r="1482" spans="1:5" ht="12.75" customHeight="1">
      <c r="A1482" s="256" t="s">
        <v>1810</v>
      </c>
      <c r="B1482" s="489">
        <v>1000</v>
      </c>
      <c r="C1482" s="1084"/>
      <c r="D1482" s="437"/>
      <c r="E1482" s="260"/>
    </row>
    <row r="1483" spans="1:5" ht="12.75" customHeight="1">
      <c r="A1483" s="256" t="s">
        <v>1811</v>
      </c>
      <c r="B1483" s="489">
        <v>1000</v>
      </c>
      <c r="C1483" s="1084"/>
      <c r="D1483" s="437"/>
      <c r="E1483" s="260"/>
    </row>
    <row r="1484" spans="1:5" ht="12.75" customHeight="1">
      <c r="A1484" s="256" t="s">
        <v>1812</v>
      </c>
      <c r="B1484" s="489">
        <v>1000</v>
      </c>
      <c r="C1484" s="1084"/>
      <c r="D1484" s="437"/>
      <c r="E1484" s="260"/>
    </row>
    <row r="1485" spans="1:5" ht="12.75" customHeight="1">
      <c r="A1485" s="256" t="s">
        <v>1813</v>
      </c>
      <c r="B1485" s="489">
        <v>1000</v>
      </c>
      <c r="C1485" s="1084"/>
      <c r="D1485" s="437"/>
      <c r="E1485" s="260"/>
    </row>
    <row r="1486" spans="1:5" ht="12.75" customHeight="1">
      <c r="A1486" s="256" t="s">
        <v>1814</v>
      </c>
      <c r="B1486" s="489">
        <v>1000</v>
      </c>
      <c r="C1486" s="1084"/>
      <c r="D1486" s="437"/>
      <c r="E1486" s="260"/>
    </row>
    <row r="1487" spans="1:5" ht="12.75" customHeight="1">
      <c r="A1487" s="256" t="s">
        <v>1815</v>
      </c>
      <c r="B1487" s="489">
        <v>1000</v>
      </c>
      <c r="C1487" s="1084"/>
      <c r="D1487" s="437"/>
      <c r="E1487" s="260"/>
    </row>
    <row r="1488" spans="1:5" ht="12.75" customHeight="1">
      <c r="A1488" s="256" t="s">
        <v>1816</v>
      </c>
      <c r="B1488" s="489">
        <v>1000</v>
      </c>
      <c r="C1488" s="1084"/>
      <c r="D1488" s="437"/>
      <c r="E1488" s="260"/>
    </row>
    <row r="1489" spans="1:5" ht="12.75" customHeight="1">
      <c r="A1489" s="256" t="s">
        <v>1817</v>
      </c>
      <c r="B1489" s="489">
        <v>1250</v>
      </c>
      <c r="C1489" s="1084"/>
      <c r="D1489" s="437"/>
      <c r="E1489" s="260"/>
    </row>
    <row r="1490" spans="1:5" ht="12.75" customHeight="1">
      <c r="A1490" s="256" t="s">
        <v>1818</v>
      </c>
      <c r="B1490" s="489">
        <v>1250</v>
      </c>
      <c r="C1490" s="1084"/>
      <c r="D1490" s="437"/>
      <c r="E1490" s="260"/>
    </row>
    <row r="1491" spans="1:5" ht="12.75" customHeight="1">
      <c r="A1491" s="256" t="s">
        <v>1819</v>
      </c>
      <c r="B1491" s="489">
        <v>1250</v>
      </c>
      <c r="C1491" s="1084"/>
      <c r="D1491" s="437"/>
      <c r="E1491" s="260"/>
    </row>
    <row r="1492" spans="1:5" ht="12.75" customHeight="1">
      <c r="A1492" s="256" t="s">
        <v>1820</v>
      </c>
      <c r="B1492" s="489">
        <v>1250</v>
      </c>
      <c r="C1492" s="1084"/>
      <c r="D1492" s="437"/>
      <c r="E1492" s="260"/>
    </row>
    <row r="1493" spans="1:5" ht="12.75" customHeight="1">
      <c r="A1493" s="256" t="s">
        <v>1821</v>
      </c>
      <c r="B1493" s="489">
        <v>1250</v>
      </c>
      <c r="C1493" s="1084"/>
      <c r="D1493" s="437"/>
      <c r="E1493" s="260"/>
    </row>
    <row r="1494" spans="1:5" ht="12.75" customHeight="1">
      <c r="A1494" s="256" t="s">
        <v>1822</v>
      </c>
      <c r="B1494" s="489">
        <v>1250</v>
      </c>
      <c r="C1494" s="1084"/>
      <c r="D1494" s="437"/>
      <c r="E1494" s="260"/>
    </row>
    <row r="1495" spans="1:5" ht="12.75" customHeight="1">
      <c r="A1495" s="256" t="s">
        <v>1823</v>
      </c>
      <c r="B1495" s="489">
        <v>1250</v>
      </c>
      <c r="C1495" s="1084"/>
      <c r="D1495" s="437"/>
      <c r="E1495" s="260"/>
    </row>
    <row r="1496" spans="1:5" ht="12.75" customHeight="1">
      <c r="A1496" s="256" t="s">
        <v>1824</v>
      </c>
      <c r="B1496" s="489">
        <v>1250</v>
      </c>
      <c r="C1496" s="1084"/>
      <c r="D1496" s="437"/>
      <c r="E1496" s="260"/>
    </row>
    <row r="1497" spans="1:5" ht="12.75" customHeight="1">
      <c r="A1497" s="256" t="s">
        <v>1825</v>
      </c>
      <c r="B1497" s="489">
        <v>1250</v>
      </c>
      <c r="C1497" s="1084"/>
      <c r="D1497" s="437"/>
      <c r="E1497" s="260"/>
    </row>
    <row r="1498" spans="1:5" ht="12.75" customHeight="1">
      <c r="A1498" s="256" t="s">
        <v>1826</v>
      </c>
      <c r="B1498" s="489">
        <v>1250</v>
      </c>
      <c r="C1498" s="1084"/>
      <c r="D1498" s="437"/>
      <c r="E1498" s="260"/>
    </row>
    <row r="1499" spans="1:5" ht="12.75" customHeight="1">
      <c r="A1499" s="256" t="s">
        <v>1827</v>
      </c>
      <c r="B1499" s="489">
        <v>1250</v>
      </c>
      <c r="C1499" s="1084"/>
      <c r="D1499" s="437"/>
      <c r="E1499" s="260"/>
    </row>
    <row r="1500" spans="1:5" ht="12.75" customHeight="1">
      <c r="A1500" s="256" t="s">
        <v>1828</v>
      </c>
      <c r="B1500" s="489">
        <v>1250</v>
      </c>
      <c r="C1500" s="1084"/>
      <c r="D1500" s="437"/>
      <c r="E1500" s="260"/>
    </row>
    <row r="1501" spans="1:5" ht="12.75" customHeight="1">
      <c r="A1501" s="256" t="s">
        <v>1829</v>
      </c>
      <c r="B1501" s="489">
        <v>1250</v>
      </c>
      <c r="C1501" s="1084"/>
      <c r="D1501" s="437"/>
      <c r="E1501" s="260"/>
    </row>
    <row r="1502" spans="1:5" ht="12.75" customHeight="1">
      <c r="A1502" s="256" t="s">
        <v>1830</v>
      </c>
      <c r="B1502" s="489">
        <v>1250</v>
      </c>
      <c r="C1502" s="1084"/>
      <c r="D1502" s="437"/>
      <c r="E1502" s="260"/>
    </row>
    <row r="1503" spans="1:5" ht="12.75" customHeight="1">
      <c r="A1503" s="256" t="s">
        <v>1831</v>
      </c>
      <c r="B1503" s="489">
        <v>1250</v>
      </c>
      <c r="C1503" s="1084"/>
      <c r="D1503" s="437"/>
      <c r="E1503" s="260"/>
    </row>
    <row r="1504" spans="1:5" ht="12.75" customHeight="1">
      <c r="A1504" s="256" t="s">
        <v>1832</v>
      </c>
      <c r="B1504" s="489">
        <v>1250</v>
      </c>
      <c r="C1504" s="1084"/>
      <c r="D1504" s="437"/>
      <c r="E1504" s="260"/>
    </row>
    <row r="1505" spans="1:5" ht="12.75" customHeight="1">
      <c r="A1505" s="256" t="s">
        <v>1833</v>
      </c>
      <c r="B1505" s="489">
        <v>1250</v>
      </c>
      <c r="C1505" s="1084"/>
      <c r="D1505" s="437"/>
      <c r="E1505" s="260"/>
    </row>
    <row r="1506" spans="1:5" ht="12.75" customHeight="1">
      <c r="A1506" s="256" t="s">
        <v>1834</v>
      </c>
      <c r="B1506" s="489">
        <v>1250</v>
      </c>
      <c r="C1506" s="1084"/>
      <c r="D1506" s="437"/>
      <c r="E1506" s="260"/>
    </row>
    <row r="1507" spans="1:5" ht="12.75" customHeight="1">
      <c r="A1507" s="256" t="s">
        <v>1835</v>
      </c>
      <c r="B1507" s="489">
        <v>1250</v>
      </c>
      <c r="C1507" s="1084"/>
      <c r="D1507" s="437"/>
      <c r="E1507" s="260"/>
    </row>
    <row r="1508" spans="1:5" ht="12.75" customHeight="1">
      <c r="A1508" s="256" t="s">
        <v>1836</v>
      </c>
      <c r="B1508" s="489">
        <v>1400</v>
      </c>
      <c r="C1508" s="1084"/>
      <c r="D1508" s="437"/>
      <c r="E1508" s="260"/>
    </row>
    <row r="1509" spans="1:5" ht="12.75" customHeight="1">
      <c r="A1509" s="256" t="s">
        <v>1837</v>
      </c>
      <c r="B1509" s="489">
        <v>1400</v>
      </c>
      <c r="C1509" s="1084"/>
      <c r="D1509" s="437"/>
      <c r="E1509" s="260"/>
    </row>
    <row r="1510" spans="1:5" ht="12.75" customHeight="1">
      <c r="A1510" s="256" t="s">
        <v>1838</v>
      </c>
      <c r="B1510" s="489">
        <v>1400</v>
      </c>
      <c r="C1510" s="1084"/>
      <c r="D1510" s="437"/>
      <c r="E1510" s="260"/>
    </row>
    <row r="1511" spans="1:5" ht="12.75" customHeight="1">
      <c r="A1511" s="256" t="s">
        <v>1839</v>
      </c>
      <c r="B1511" s="489">
        <v>1250</v>
      </c>
      <c r="C1511" s="1084"/>
      <c r="D1511" s="437"/>
      <c r="E1511" s="260"/>
    </row>
    <row r="1512" spans="1:5" ht="12.75" customHeight="1">
      <c r="A1512" s="256" t="s">
        <v>1840</v>
      </c>
      <c r="B1512" s="489">
        <v>1250</v>
      </c>
      <c r="C1512" s="1084"/>
      <c r="D1512" s="437"/>
      <c r="E1512" s="260"/>
    </row>
    <row r="1513" spans="1:5" ht="12.75" customHeight="1">
      <c r="A1513" s="256" t="s">
        <v>1841</v>
      </c>
      <c r="B1513" s="489">
        <v>1250</v>
      </c>
      <c r="C1513" s="1084"/>
      <c r="D1513" s="437"/>
      <c r="E1513" s="260"/>
    </row>
    <row r="1514" spans="1:5" ht="12.75" customHeight="1">
      <c r="A1514" s="256" t="s">
        <v>1842</v>
      </c>
      <c r="B1514" s="489">
        <v>1250</v>
      </c>
      <c r="C1514" s="1084"/>
      <c r="D1514" s="437"/>
      <c r="E1514" s="260"/>
    </row>
    <row r="1515" spans="1:5" ht="12.75" customHeight="1">
      <c r="A1515" s="256" t="s">
        <v>1843</v>
      </c>
      <c r="B1515" s="489">
        <v>1250</v>
      </c>
      <c r="C1515" s="1084"/>
      <c r="D1515" s="437"/>
      <c r="E1515" s="260"/>
    </row>
    <row r="1516" spans="1:5" ht="12.75" customHeight="1">
      <c r="A1516" s="256" t="s">
        <v>1844</v>
      </c>
      <c r="B1516" s="489">
        <v>1250</v>
      </c>
      <c r="C1516" s="1084"/>
      <c r="D1516" s="437"/>
      <c r="E1516" s="260"/>
    </row>
    <row r="1517" spans="1:5" ht="12.75" customHeight="1">
      <c r="A1517" s="256" t="s">
        <v>1845</v>
      </c>
      <c r="B1517" s="489">
        <v>1250</v>
      </c>
      <c r="C1517" s="1084"/>
      <c r="D1517" s="437"/>
      <c r="E1517" s="260"/>
    </row>
    <row r="1518" spans="1:5" ht="12.75" customHeight="1">
      <c r="A1518" s="256" t="s">
        <v>1846</v>
      </c>
      <c r="B1518" s="489">
        <v>1450</v>
      </c>
      <c r="C1518" s="1084"/>
      <c r="D1518" s="437"/>
      <c r="E1518" s="260"/>
    </row>
    <row r="1519" spans="1:5" ht="12.75" customHeight="1">
      <c r="A1519" s="256" t="s">
        <v>1847</v>
      </c>
      <c r="B1519" s="489">
        <v>1450</v>
      </c>
      <c r="C1519" s="1084"/>
      <c r="D1519" s="437"/>
      <c r="E1519" s="260"/>
    </row>
    <row r="1520" spans="1:5" ht="12.75" customHeight="1">
      <c r="A1520" s="256" t="s">
        <v>1848</v>
      </c>
      <c r="B1520" s="489">
        <v>1450</v>
      </c>
      <c r="C1520" s="1084"/>
      <c r="D1520" s="437"/>
      <c r="E1520" s="260"/>
    </row>
    <row r="1521" spans="1:5" ht="12.75" customHeight="1">
      <c r="A1521" s="256" t="s">
        <v>1849</v>
      </c>
      <c r="B1521" s="489">
        <v>1450</v>
      </c>
      <c r="C1521" s="1084"/>
      <c r="D1521" s="437"/>
      <c r="E1521" s="260"/>
    </row>
    <row r="1522" spans="1:5" ht="12.75" customHeight="1">
      <c r="A1522" s="256" t="s">
        <v>1850</v>
      </c>
      <c r="B1522" s="489">
        <v>1450</v>
      </c>
      <c r="C1522" s="1084"/>
      <c r="D1522" s="437"/>
      <c r="E1522" s="260"/>
    </row>
    <row r="1523" spans="1:5" ht="12.75" customHeight="1">
      <c r="A1523" s="256" t="s">
        <v>1851</v>
      </c>
      <c r="B1523" s="489">
        <v>1450</v>
      </c>
      <c r="C1523" s="1084"/>
      <c r="D1523" s="437"/>
      <c r="E1523" s="260"/>
    </row>
    <row r="1524" spans="1:5" ht="12.75" customHeight="1">
      <c r="A1524" s="256" t="s">
        <v>1852</v>
      </c>
      <c r="B1524" s="489">
        <v>1450</v>
      </c>
      <c r="C1524" s="1084"/>
      <c r="D1524" s="437"/>
      <c r="E1524" s="260"/>
    </row>
    <row r="1525" spans="1:5" ht="12.75" customHeight="1">
      <c r="A1525" s="256" t="s">
        <v>1853</v>
      </c>
      <c r="B1525" s="489">
        <v>1450</v>
      </c>
      <c r="C1525" s="1084"/>
      <c r="D1525" s="437"/>
      <c r="E1525" s="260"/>
    </row>
    <row r="1526" spans="1:5" ht="12.75" customHeight="1">
      <c r="A1526" s="256" t="s">
        <v>1854</v>
      </c>
      <c r="B1526" s="489">
        <v>1450</v>
      </c>
      <c r="C1526" s="1084"/>
      <c r="D1526" s="437"/>
      <c r="E1526" s="260"/>
    </row>
    <row r="1527" spans="1:5" ht="12.75" customHeight="1">
      <c r="A1527" s="256" t="s">
        <v>1855</v>
      </c>
      <c r="B1527" s="489">
        <v>1450</v>
      </c>
      <c r="C1527" s="1084"/>
      <c r="D1527" s="437"/>
      <c r="E1527" s="260"/>
    </row>
    <row r="1528" spans="1:5" ht="12.75" customHeight="1">
      <c r="A1528" s="256" t="s">
        <v>1856</v>
      </c>
      <c r="B1528" s="489">
        <v>1450</v>
      </c>
      <c r="C1528" s="1084"/>
      <c r="D1528" s="437"/>
      <c r="E1528" s="260"/>
    </row>
    <row r="1529" spans="1:5" ht="12.75" customHeight="1">
      <c r="A1529" s="256" t="s">
        <v>1857</v>
      </c>
      <c r="B1529" s="489">
        <v>1450</v>
      </c>
      <c r="C1529" s="1084"/>
      <c r="D1529" s="437"/>
      <c r="E1529" s="260"/>
    </row>
    <row r="1530" spans="1:5" ht="12.75" customHeight="1">
      <c r="A1530" s="256" t="s">
        <v>1858</v>
      </c>
      <c r="B1530" s="489">
        <v>1450</v>
      </c>
      <c r="C1530" s="1084"/>
      <c r="D1530" s="437"/>
      <c r="E1530" s="260"/>
    </row>
    <row r="1531" spans="1:5" ht="12.75" customHeight="1">
      <c r="A1531" s="256" t="s">
        <v>1859</v>
      </c>
      <c r="B1531" s="489">
        <v>1450</v>
      </c>
      <c r="C1531" s="1084"/>
      <c r="D1531" s="437"/>
      <c r="E1531" s="260"/>
    </row>
    <row r="1532" spans="1:5" ht="12.75" customHeight="1">
      <c r="A1532" s="256" t="s">
        <v>1860</v>
      </c>
      <c r="B1532" s="489">
        <v>1450</v>
      </c>
      <c r="C1532" s="1084"/>
      <c r="D1532" s="437"/>
      <c r="E1532" s="260"/>
    </row>
    <row r="1533" spans="1:5" ht="12.75" customHeight="1">
      <c r="A1533" s="256" t="s">
        <v>1861</v>
      </c>
      <c r="B1533" s="489">
        <v>1450</v>
      </c>
      <c r="C1533" s="1084"/>
      <c r="D1533" s="437"/>
      <c r="E1533" s="260"/>
    </row>
    <row r="1534" spans="1:5" ht="12.75" customHeight="1">
      <c r="A1534" s="256" t="s">
        <v>1862</v>
      </c>
      <c r="B1534" s="489">
        <v>1450</v>
      </c>
      <c r="C1534" s="1084"/>
      <c r="D1534" s="437"/>
      <c r="E1534" s="260"/>
    </row>
    <row r="1535" spans="1:5" ht="12.75" customHeight="1">
      <c r="A1535" s="256" t="s">
        <v>1863</v>
      </c>
      <c r="B1535" s="489">
        <v>500</v>
      </c>
      <c r="C1535" s="1084"/>
      <c r="D1535" s="437"/>
      <c r="E1535" s="260"/>
    </row>
    <row r="1536" spans="1:5" ht="12.75" customHeight="1">
      <c r="A1536" s="256" t="s">
        <v>1864</v>
      </c>
      <c r="B1536" s="489">
        <v>500</v>
      </c>
      <c r="C1536" s="1084"/>
      <c r="D1536" s="437"/>
      <c r="E1536" s="260"/>
    </row>
    <row r="1537" spans="1:5" ht="12.75" customHeight="1">
      <c r="A1537" s="256" t="s">
        <v>1865</v>
      </c>
      <c r="B1537" s="489">
        <v>500</v>
      </c>
      <c r="C1537" s="1084"/>
      <c r="D1537" s="437"/>
      <c r="E1537" s="260"/>
    </row>
    <row r="1538" spans="1:5" ht="12.75" customHeight="1">
      <c r="A1538" s="256" t="s">
        <v>1866</v>
      </c>
      <c r="B1538" s="489">
        <v>500</v>
      </c>
      <c r="C1538" s="1084"/>
      <c r="D1538" s="437"/>
      <c r="E1538" s="260"/>
    </row>
    <row r="1539" spans="1:5" ht="12.75" customHeight="1">
      <c r="A1539" s="256" t="s">
        <v>1867</v>
      </c>
      <c r="B1539" s="489">
        <v>500</v>
      </c>
      <c r="C1539" s="1084"/>
      <c r="D1539" s="437"/>
      <c r="E1539" s="260"/>
    </row>
    <row r="1540" spans="1:5" ht="12.75" customHeight="1">
      <c r="A1540" s="256" t="s">
        <v>1868</v>
      </c>
      <c r="B1540" s="489">
        <v>500</v>
      </c>
      <c r="C1540" s="1084"/>
      <c r="D1540" s="437"/>
      <c r="E1540" s="260"/>
    </row>
    <row r="1541" spans="1:5" ht="12.75" customHeight="1">
      <c r="A1541" s="256" t="s">
        <v>1869</v>
      </c>
      <c r="B1541" s="489">
        <v>500</v>
      </c>
      <c r="C1541" s="1084"/>
      <c r="D1541" s="437"/>
      <c r="E1541" s="260"/>
    </row>
    <row r="1542" spans="1:5" ht="12.75" customHeight="1">
      <c r="A1542" s="256" t="s">
        <v>1870</v>
      </c>
      <c r="B1542" s="489">
        <v>500</v>
      </c>
      <c r="C1542" s="1084"/>
      <c r="D1542" s="437"/>
      <c r="E1542" s="260"/>
    </row>
    <row r="1543" spans="1:5" ht="12.75" customHeight="1">
      <c r="A1543" s="256" t="s">
        <v>1871</v>
      </c>
      <c r="B1543" s="489">
        <v>500</v>
      </c>
      <c r="C1543" s="1084"/>
      <c r="D1543" s="437"/>
      <c r="E1543" s="260"/>
    </row>
    <row r="1544" spans="1:5" ht="12.75" customHeight="1">
      <c r="A1544" s="256" t="s">
        <v>1872</v>
      </c>
      <c r="B1544" s="489">
        <v>500</v>
      </c>
      <c r="C1544" s="1084"/>
      <c r="D1544" s="437"/>
      <c r="E1544" s="260"/>
    </row>
    <row r="1545" spans="1:5" ht="12.75" customHeight="1">
      <c r="A1545" s="256" t="s">
        <v>1873</v>
      </c>
      <c r="B1545" s="489">
        <v>500</v>
      </c>
      <c r="C1545" s="1084"/>
      <c r="D1545" s="437"/>
      <c r="E1545" s="260"/>
    </row>
    <row r="1546" spans="1:5" ht="12.75" customHeight="1">
      <c r="A1546" s="256" t="s">
        <v>1874</v>
      </c>
      <c r="B1546" s="489">
        <v>600</v>
      </c>
      <c r="C1546" s="1084"/>
      <c r="D1546" s="437"/>
      <c r="E1546" s="260"/>
    </row>
    <row r="1547" spans="1:5" ht="12.75" customHeight="1">
      <c r="A1547" s="256" t="s">
        <v>1875</v>
      </c>
      <c r="B1547" s="489">
        <v>600</v>
      </c>
      <c r="C1547" s="1084"/>
      <c r="D1547" s="437"/>
      <c r="E1547" s="260"/>
    </row>
    <row r="1548" spans="1:5" ht="12.75" customHeight="1">
      <c r="A1548" s="256" t="s">
        <v>1876</v>
      </c>
      <c r="B1548" s="489">
        <v>600</v>
      </c>
      <c r="C1548" s="1084"/>
      <c r="D1548" s="437"/>
      <c r="E1548" s="260"/>
    </row>
    <row r="1549" spans="1:5" ht="12.75" customHeight="1">
      <c r="A1549" s="256" t="s">
        <v>1877</v>
      </c>
      <c r="B1549" s="489">
        <v>600</v>
      </c>
      <c r="C1549" s="1084"/>
      <c r="D1549" s="437"/>
      <c r="E1549" s="260"/>
    </row>
    <row r="1550" spans="1:5" ht="12.75" customHeight="1">
      <c r="A1550" s="256" t="s">
        <v>1878</v>
      </c>
      <c r="B1550" s="489">
        <v>600</v>
      </c>
      <c r="C1550" s="1084"/>
      <c r="D1550" s="437"/>
      <c r="E1550" s="260"/>
    </row>
    <row r="1551" spans="1:5" ht="12.75" customHeight="1">
      <c r="A1551" s="256" t="s">
        <v>1879</v>
      </c>
      <c r="B1551" s="489">
        <v>600</v>
      </c>
      <c r="C1551" s="1084"/>
      <c r="D1551" s="437"/>
      <c r="E1551" s="260"/>
    </row>
    <row r="1552" spans="1:5" ht="12.75" customHeight="1">
      <c r="A1552" s="256" t="s">
        <v>1880</v>
      </c>
      <c r="B1552" s="489">
        <v>600</v>
      </c>
      <c r="C1552" s="1084"/>
      <c r="D1552" s="437"/>
      <c r="E1552" s="260"/>
    </row>
    <row r="1553" spans="1:5" ht="12.75" customHeight="1">
      <c r="A1553" s="256" t="s">
        <v>1881</v>
      </c>
      <c r="B1553" s="489">
        <v>600</v>
      </c>
      <c r="C1553" s="1084"/>
      <c r="D1553" s="437"/>
      <c r="E1553" s="260"/>
    </row>
    <row r="1554" spans="1:5" ht="12.75" customHeight="1">
      <c r="A1554" s="256" t="s">
        <v>1882</v>
      </c>
      <c r="B1554" s="489">
        <v>600</v>
      </c>
      <c r="C1554" s="1084"/>
      <c r="D1554" s="437"/>
      <c r="E1554" s="260"/>
    </row>
    <row r="1555" spans="1:5" ht="12.75" customHeight="1">
      <c r="A1555" s="256" t="s">
        <v>1883</v>
      </c>
      <c r="B1555" s="489">
        <v>600</v>
      </c>
      <c r="C1555" s="1084"/>
      <c r="D1555" s="437"/>
      <c r="E1555" s="260"/>
    </row>
    <row r="1556" spans="1:5" ht="12.75" customHeight="1">
      <c r="A1556" s="256" t="s">
        <v>1884</v>
      </c>
      <c r="B1556" s="489">
        <v>600</v>
      </c>
      <c r="C1556" s="1084"/>
      <c r="D1556" s="437"/>
      <c r="E1556" s="260"/>
    </row>
    <row r="1557" spans="1:5" ht="12.75" customHeight="1">
      <c r="A1557" s="256" t="s">
        <v>1885</v>
      </c>
      <c r="B1557" s="489">
        <v>800</v>
      </c>
      <c r="C1557" s="1084"/>
      <c r="D1557" s="437"/>
      <c r="E1557" s="260"/>
    </row>
    <row r="1558" spans="1:5" ht="12.75" customHeight="1">
      <c r="A1558" s="256" t="s">
        <v>1886</v>
      </c>
      <c r="B1558" s="489">
        <v>800</v>
      </c>
      <c r="C1558" s="1084"/>
      <c r="D1558" s="437"/>
      <c r="E1558" s="260"/>
    </row>
    <row r="1559" spans="1:5" ht="12.75" customHeight="1">
      <c r="A1559" s="256" t="s">
        <v>1887</v>
      </c>
      <c r="B1559" s="489">
        <v>800</v>
      </c>
      <c r="C1559" s="1084"/>
      <c r="D1559" s="437"/>
      <c r="E1559" s="260"/>
    </row>
    <row r="1560" spans="1:5" ht="12.75" customHeight="1">
      <c r="A1560" s="256" t="s">
        <v>1888</v>
      </c>
      <c r="B1560" s="489">
        <v>800</v>
      </c>
      <c r="C1560" s="1084"/>
      <c r="D1560" s="437"/>
      <c r="E1560" s="260"/>
    </row>
    <row r="1561" spans="1:5" ht="12.75" customHeight="1">
      <c r="A1561" s="256" t="s">
        <v>1889</v>
      </c>
      <c r="B1561" s="489">
        <v>800</v>
      </c>
      <c r="C1561" s="1084"/>
      <c r="D1561" s="437"/>
      <c r="E1561" s="260"/>
    </row>
    <row r="1562" spans="1:5" ht="12.75" customHeight="1" thickBot="1">
      <c r="A1562" s="256" t="s">
        <v>1890</v>
      </c>
      <c r="B1562" s="489">
        <v>800</v>
      </c>
      <c r="C1562" s="1085"/>
      <c r="D1562" s="437"/>
      <c r="E1562" s="260"/>
    </row>
    <row r="1563" spans="1:5" ht="12.75" customHeight="1">
      <c r="A1563" s="16"/>
      <c r="B1563" s="494"/>
      <c r="C1563" s="1081" t="s">
        <v>1788</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1753</v>
      </c>
      <c r="B1568" s="484">
        <v>140</v>
      </c>
      <c r="C1568" s="1078" t="s">
        <v>1717</v>
      </c>
      <c r="D1568" s="437"/>
      <c r="E1568" s="260"/>
    </row>
    <row r="1569" spans="1:5" ht="12.75" customHeight="1">
      <c r="A1569" s="6" t="s">
        <v>1754</v>
      </c>
      <c r="B1569" s="438">
        <v>140</v>
      </c>
      <c r="C1569" s="1079"/>
      <c r="D1569" s="437"/>
      <c r="E1569" s="260"/>
    </row>
    <row r="1570" spans="1:5" ht="12.75" customHeight="1">
      <c r="A1570" s="6" t="s">
        <v>1757</v>
      </c>
      <c r="B1570" s="438">
        <v>140</v>
      </c>
      <c r="C1570" s="1079"/>
      <c r="D1570" s="437"/>
      <c r="E1570" s="260"/>
    </row>
    <row r="1571" spans="1:5" ht="12.75" customHeight="1">
      <c r="A1571" s="6" t="s">
        <v>1758</v>
      </c>
      <c r="B1571" s="438">
        <v>140</v>
      </c>
      <c r="C1571" s="1079"/>
      <c r="D1571" s="437"/>
      <c r="E1571" s="260"/>
    </row>
    <row r="1572" spans="1:5" ht="12.75" customHeight="1">
      <c r="A1572" s="6" t="s">
        <v>1755</v>
      </c>
      <c r="B1572" s="438">
        <v>140</v>
      </c>
      <c r="C1572" s="1079"/>
      <c r="D1572" s="437"/>
      <c r="E1572" s="260"/>
    </row>
    <row r="1573" spans="1:5" ht="12.75" customHeight="1">
      <c r="A1573" s="6" t="s">
        <v>1759</v>
      </c>
      <c r="B1573" s="438">
        <v>140</v>
      </c>
      <c r="C1573" s="1079"/>
      <c r="D1573" s="437"/>
      <c r="E1573" s="260"/>
    </row>
    <row r="1574" spans="1:5" ht="12.75" customHeight="1">
      <c r="A1574" s="6" t="s">
        <v>1760</v>
      </c>
      <c r="B1574" s="438">
        <v>140</v>
      </c>
      <c r="C1574" s="1079"/>
      <c r="D1574" s="437"/>
      <c r="E1574" s="260"/>
    </row>
    <row r="1575" spans="1:5" ht="12.75" customHeight="1">
      <c r="A1575" s="6" t="s">
        <v>1756</v>
      </c>
      <c r="B1575" s="438">
        <v>140</v>
      </c>
      <c r="C1575" s="1079"/>
      <c r="D1575" s="437"/>
      <c r="E1575" s="260"/>
    </row>
    <row r="1576" spans="1:5" ht="12.75" customHeight="1">
      <c r="A1576" s="6" t="s">
        <v>1761</v>
      </c>
      <c r="B1576" s="438">
        <v>140</v>
      </c>
      <c r="C1576" s="1079"/>
      <c r="D1576" s="437"/>
      <c r="E1576" s="260"/>
    </row>
    <row r="1577" spans="1:5" ht="12.75" customHeight="1">
      <c r="A1577" s="6" t="s">
        <v>1762</v>
      </c>
      <c r="B1577" s="438">
        <v>130</v>
      </c>
      <c r="C1577" s="1079"/>
      <c r="D1577" s="437"/>
      <c r="E1577" s="260"/>
    </row>
    <row r="1578" spans="1:5" ht="12.75" customHeight="1">
      <c r="A1578" s="6" t="s">
        <v>1763</v>
      </c>
      <c r="B1578" s="438">
        <v>130</v>
      </c>
      <c r="C1578" s="1079"/>
      <c r="D1578" s="437"/>
      <c r="E1578" s="260"/>
    </row>
    <row r="1579" spans="1:5" ht="12.75" customHeight="1">
      <c r="A1579" s="6" t="s">
        <v>1764</v>
      </c>
      <c r="B1579" s="438">
        <v>130</v>
      </c>
      <c r="C1579" s="1079"/>
      <c r="D1579" s="437"/>
      <c r="E1579" s="260"/>
    </row>
    <row r="1580" spans="1:5" ht="12.75" customHeight="1">
      <c r="A1580" s="6" t="s">
        <v>1765</v>
      </c>
      <c r="B1580" s="438">
        <v>130</v>
      </c>
      <c r="C1580" s="1079"/>
      <c r="D1580" s="437"/>
      <c r="E1580" s="260"/>
    </row>
    <row r="1581" spans="1:5" ht="12.75" customHeight="1">
      <c r="A1581" s="6" t="s">
        <v>1766</v>
      </c>
      <c r="B1581" s="438">
        <v>130</v>
      </c>
      <c r="C1581" s="1079"/>
      <c r="D1581" s="437"/>
      <c r="E1581" s="260"/>
    </row>
    <row r="1582" spans="1:5" ht="12.75" customHeight="1">
      <c r="A1582" s="6" t="s">
        <v>1767</v>
      </c>
      <c r="B1582" s="438">
        <v>130</v>
      </c>
      <c r="C1582" s="1079"/>
      <c r="D1582" s="437"/>
      <c r="E1582" s="260"/>
    </row>
    <row r="1583" spans="1:5" ht="12.75" customHeight="1">
      <c r="A1583" s="6" t="s">
        <v>1768</v>
      </c>
      <c r="B1583" s="438">
        <v>130</v>
      </c>
      <c r="C1583" s="1079"/>
      <c r="D1583" s="437"/>
      <c r="E1583" s="260"/>
    </row>
    <row r="1584" spans="1:5" ht="12.75" customHeight="1">
      <c r="A1584" s="6" t="s">
        <v>1769</v>
      </c>
      <c r="B1584" s="438">
        <v>130</v>
      </c>
      <c r="C1584" s="1079"/>
      <c r="D1584" s="437"/>
      <c r="E1584" s="260"/>
    </row>
    <row r="1585" spans="1:5" ht="12.75" customHeight="1">
      <c r="A1585" s="6" t="s">
        <v>1770</v>
      </c>
      <c r="B1585" s="438">
        <v>130</v>
      </c>
      <c r="C1585" s="1079"/>
      <c r="D1585" s="437"/>
      <c r="E1585" s="260"/>
    </row>
    <row r="1586" spans="1:5" ht="12.75" customHeight="1">
      <c r="A1586" s="6" t="s">
        <v>1771</v>
      </c>
      <c r="B1586" s="438">
        <v>130</v>
      </c>
      <c r="C1586" s="1079"/>
      <c r="D1586" s="437"/>
      <c r="E1586" s="260"/>
    </row>
    <row r="1587" spans="1:5" ht="12.75" customHeight="1">
      <c r="A1587" s="6" t="s">
        <v>1772</v>
      </c>
      <c r="B1587" s="438">
        <v>130</v>
      </c>
      <c r="C1587" s="1079"/>
      <c r="D1587" s="437"/>
      <c r="E1587" s="260"/>
    </row>
    <row r="1588" spans="1:5" ht="12.75" customHeight="1">
      <c r="A1588" s="6" t="s">
        <v>1773</v>
      </c>
      <c r="B1588" s="438">
        <v>130</v>
      </c>
      <c r="C1588" s="1079"/>
      <c r="D1588" s="437"/>
      <c r="E1588" s="260"/>
    </row>
    <row r="1589" spans="1:5" ht="12.75" customHeight="1">
      <c r="A1589" s="6" t="s">
        <v>1774</v>
      </c>
      <c r="B1589" s="438">
        <v>140</v>
      </c>
      <c r="C1589" s="1079"/>
      <c r="D1589" s="437"/>
      <c r="E1589" s="260"/>
    </row>
    <row r="1590" spans="1:5" ht="12.75" customHeight="1">
      <c r="A1590" s="6" t="s">
        <v>1775</v>
      </c>
      <c r="B1590" s="438">
        <v>140</v>
      </c>
      <c r="C1590" s="1079"/>
      <c r="D1590" s="437"/>
      <c r="E1590" s="260"/>
    </row>
    <row r="1591" spans="1:5" ht="12.75" customHeight="1">
      <c r="A1591" s="6" t="s">
        <v>1777</v>
      </c>
      <c r="B1591" s="438">
        <v>140</v>
      </c>
      <c r="C1591" s="1079"/>
      <c r="D1591" s="437"/>
      <c r="E1591" s="260"/>
    </row>
    <row r="1592" spans="1:5" ht="12.75" customHeight="1">
      <c r="A1592" s="6" t="s">
        <v>1776</v>
      </c>
      <c r="B1592" s="438">
        <v>140</v>
      </c>
      <c r="C1592" s="1079"/>
      <c r="D1592" s="437"/>
      <c r="E1592" s="260"/>
    </row>
    <row r="1593" spans="1:5" ht="12.75" customHeight="1">
      <c r="A1593" s="6" t="s">
        <v>1778</v>
      </c>
      <c r="B1593" s="438">
        <v>170</v>
      </c>
      <c r="C1593" s="1079"/>
      <c r="D1593" s="437"/>
      <c r="E1593" s="260"/>
    </row>
    <row r="1594" spans="1:5" ht="12.75" customHeight="1">
      <c r="A1594" s="6" t="s">
        <v>1779</v>
      </c>
      <c r="B1594" s="438">
        <v>170</v>
      </c>
      <c r="C1594" s="1079"/>
      <c r="D1594" s="437"/>
      <c r="E1594" s="260"/>
    </row>
    <row r="1595" spans="1:5" ht="12.75" customHeight="1">
      <c r="A1595" s="6" t="s">
        <v>1780</v>
      </c>
      <c r="B1595" s="438">
        <v>170</v>
      </c>
      <c r="C1595" s="1079"/>
      <c r="D1595" s="437"/>
      <c r="E1595" s="260"/>
    </row>
    <row r="1596" spans="1:5" ht="12.75" customHeight="1">
      <c r="A1596" s="6" t="s">
        <v>1781</v>
      </c>
      <c r="B1596" s="438">
        <v>170</v>
      </c>
      <c r="C1596" s="1079"/>
      <c r="D1596" s="437"/>
      <c r="E1596" s="260"/>
    </row>
    <row r="1597" spans="1:5" ht="12.75" customHeight="1">
      <c r="A1597" s="6" t="s">
        <v>1782</v>
      </c>
      <c r="B1597" s="438">
        <v>170</v>
      </c>
      <c r="C1597" s="1079"/>
      <c r="D1597" s="437"/>
      <c r="E1597" s="260"/>
    </row>
    <row r="1598" spans="1:5" ht="12.75" customHeight="1">
      <c r="A1598" s="6" t="s">
        <v>1783</v>
      </c>
      <c r="B1598" s="438">
        <v>170</v>
      </c>
      <c r="C1598" s="1079"/>
      <c r="D1598" s="437"/>
      <c r="E1598" s="260"/>
    </row>
    <row r="1599" spans="1:5" ht="12.75" customHeight="1">
      <c r="A1599" s="6" t="s">
        <v>1784</v>
      </c>
      <c r="B1599" s="438">
        <v>170</v>
      </c>
      <c r="C1599" s="1079"/>
      <c r="D1599" s="437"/>
      <c r="E1599" s="260"/>
    </row>
    <row r="1600" spans="1:5" ht="12.75" customHeight="1">
      <c r="A1600" s="6" t="s">
        <v>1785</v>
      </c>
      <c r="B1600" s="438">
        <v>170</v>
      </c>
      <c r="C1600" s="1079"/>
      <c r="D1600" s="437"/>
      <c r="E1600" s="260"/>
    </row>
    <row r="1601" spans="1:5" ht="12.75" customHeight="1">
      <c r="A1601" s="6" t="s">
        <v>1786</v>
      </c>
      <c r="B1601" s="438">
        <v>170</v>
      </c>
      <c r="C1601" s="1079"/>
      <c r="D1601" s="437"/>
      <c r="E1601" s="260"/>
    </row>
    <row r="1602" spans="1:5" ht="12.75" customHeight="1">
      <c r="A1602" s="6" t="s">
        <v>1789</v>
      </c>
      <c r="B1602" s="438">
        <v>360</v>
      </c>
      <c r="C1602" s="1079"/>
      <c r="D1602" s="437"/>
      <c r="E1602" s="260"/>
    </row>
    <row r="1603" spans="1:5" ht="12.75" customHeight="1">
      <c r="A1603" s="6" t="s">
        <v>1790</v>
      </c>
      <c r="B1603" s="438">
        <v>240</v>
      </c>
      <c r="C1603" s="1079"/>
      <c r="D1603" s="437"/>
      <c r="E1603" s="260"/>
    </row>
    <row r="1604" spans="1:5" ht="12.75" customHeight="1">
      <c r="A1604" s="6" t="s">
        <v>1791</v>
      </c>
      <c r="B1604" s="438">
        <v>280</v>
      </c>
      <c r="C1604" s="1079"/>
      <c r="D1604" s="437"/>
      <c r="E1604" s="260"/>
    </row>
    <row r="1605" spans="1:5" ht="12.75" customHeight="1">
      <c r="A1605" s="6" t="s">
        <v>1792</v>
      </c>
      <c r="B1605" s="438">
        <v>320</v>
      </c>
      <c r="C1605" s="1079"/>
      <c r="D1605" s="437"/>
      <c r="E1605" s="260"/>
    </row>
    <row r="1606" spans="1:5" ht="12.75" customHeight="1">
      <c r="A1606" s="6" t="s">
        <v>1793</v>
      </c>
      <c r="B1606" s="438">
        <v>360</v>
      </c>
      <c r="C1606" s="1079"/>
      <c r="D1606" s="437"/>
      <c r="E1606" s="260"/>
    </row>
    <row r="1607" spans="1:5" ht="12.75" customHeight="1">
      <c r="A1607" s="6" t="s">
        <v>1794</v>
      </c>
      <c r="B1607" s="438">
        <v>240</v>
      </c>
      <c r="C1607" s="1079"/>
      <c r="D1607" s="437"/>
      <c r="E1607" s="260"/>
    </row>
    <row r="1608" spans="1:5" ht="12.75" customHeight="1">
      <c r="A1608" s="6" t="s">
        <v>1795</v>
      </c>
      <c r="B1608" s="438">
        <v>280</v>
      </c>
      <c r="C1608" s="1079"/>
      <c r="D1608" s="437"/>
      <c r="E1608" s="260"/>
    </row>
    <row r="1609" spans="1:5" ht="12.75" customHeight="1">
      <c r="A1609" s="6" t="s">
        <v>1796</v>
      </c>
      <c r="B1609" s="438">
        <v>320</v>
      </c>
      <c r="C1609" s="1079"/>
      <c r="D1609" s="437"/>
      <c r="E1609" s="260"/>
    </row>
    <row r="1610" spans="1:5" ht="12.75" customHeight="1">
      <c r="A1610" s="6" t="s">
        <v>1797</v>
      </c>
      <c r="B1610" s="438">
        <v>360</v>
      </c>
      <c r="C1610" s="1079"/>
      <c r="D1610" s="437"/>
      <c r="E1610" s="260"/>
    </row>
    <row r="1611" spans="1:5" ht="12.75" customHeight="1">
      <c r="A1611" s="6" t="s">
        <v>1798</v>
      </c>
      <c r="B1611" s="438">
        <v>210</v>
      </c>
      <c r="C1611" s="1079"/>
      <c r="D1611" s="437"/>
      <c r="E1611" s="260"/>
    </row>
    <row r="1612" spans="1:5" ht="12.75" customHeight="1">
      <c r="A1612" s="6" t="s">
        <v>1799</v>
      </c>
      <c r="B1612" s="438">
        <v>210</v>
      </c>
      <c r="C1612" s="1079"/>
      <c r="D1612" s="437"/>
      <c r="E1612" s="260"/>
    </row>
    <row r="1613" spans="1:5" ht="12.75" customHeight="1">
      <c r="A1613" s="6" t="s">
        <v>1800</v>
      </c>
      <c r="B1613" s="438">
        <v>210</v>
      </c>
      <c r="C1613" s="1079"/>
      <c r="D1613" s="437"/>
      <c r="E1613" s="260"/>
    </row>
    <row r="1614" spans="1:5" ht="12.75" customHeight="1">
      <c r="A1614" s="6" t="s">
        <v>1801</v>
      </c>
      <c r="B1614" s="438">
        <v>210</v>
      </c>
      <c r="C1614" s="1079"/>
      <c r="D1614" s="437"/>
      <c r="E1614" s="260"/>
    </row>
    <row r="1615" spans="1:5" ht="12.75" customHeight="1" thickBot="1">
      <c r="A1615" s="486" t="s">
        <v>1802</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1750</v>
      </c>
      <c r="E2" s="27" t="s">
        <v>1695</v>
      </c>
      <c r="F2" s="27" t="s">
        <v>1173</v>
      </c>
      <c r="G2" s="27" t="s">
        <v>1733</v>
      </c>
      <c r="H2" s="27" t="s">
        <v>1734</v>
      </c>
    </row>
    <row r="3" spans="1:8" ht="15.75" thickBot="1">
      <c r="A3" s="1107"/>
      <c r="B3" s="1107"/>
      <c r="C3" s="1107"/>
      <c r="D3" s="1107"/>
      <c r="E3" s="1107"/>
      <c r="F3" s="1107"/>
      <c r="G3" s="1107"/>
      <c r="H3" s="1108"/>
    </row>
    <row r="4" spans="1:8" ht="15">
      <c r="A4" s="22" t="s">
        <v>1146</v>
      </c>
      <c r="B4" s="1101" t="s">
        <v>1172</v>
      </c>
      <c r="C4" s="1101"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1735</v>
      </c>
    </row>
    <row r="7" spans="1:8" ht="15">
      <c r="A7" s="22" t="s">
        <v>1146</v>
      </c>
      <c r="B7" s="1101"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1736</v>
      </c>
    </row>
    <row r="10" spans="1:8" ht="15">
      <c r="A10" s="22" t="s">
        <v>1146</v>
      </c>
      <c r="B10" s="1101"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1737</v>
      </c>
    </row>
    <row r="13" spans="1:8" ht="15">
      <c r="A13" s="22" t="s">
        <v>1146</v>
      </c>
      <c r="B13" s="1101"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1738</v>
      </c>
    </row>
    <row r="16" spans="1:8" ht="15">
      <c r="A16" s="22" t="s">
        <v>1146</v>
      </c>
      <c r="B16" s="1101"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1747</v>
      </c>
      <c r="F17" s="26"/>
      <c r="G17" s="26"/>
      <c r="H17" s="26"/>
    </row>
    <row r="18" spans="1:8" ht="15.75" thickBot="1">
      <c r="A18" s="24" t="s">
        <v>1153</v>
      </c>
      <c r="B18" s="1103"/>
      <c r="C18" s="1102"/>
      <c r="D18" s="465" t="str">
        <f t="shared" si="0"/>
        <v>FanucX120SEW</v>
      </c>
      <c r="E18" s="21" t="s">
        <v>1747</v>
      </c>
      <c r="F18" s="21"/>
      <c r="G18" s="21"/>
      <c r="H18" s="21"/>
    </row>
    <row r="19" spans="1:8" ht="15">
      <c r="A19" s="22" t="s">
        <v>1146</v>
      </c>
      <c r="B19" s="1101" t="s">
        <v>1748</v>
      </c>
      <c r="C19" s="1102"/>
      <c r="D19" s="470" t="str">
        <f>CONCATENATE(A19,$B$19,$C$4)</f>
        <v>ABBX120 (Doppelzange)SEW</v>
      </c>
      <c r="E19" s="470" t="s">
        <v>1747</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1739</v>
      </c>
    </row>
    <row r="22" spans="1:8" ht="15">
      <c r="A22" s="22" t="s">
        <v>1146</v>
      </c>
      <c r="B22" s="1101" t="s">
        <v>1740</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1749</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1" t="s">
        <v>1172</v>
      </c>
      <c r="C28" s="1104" t="s">
        <v>1694</v>
      </c>
      <c r="D28" s="23" t="str">
        <f>CONCATENATE(A28,$B$28,$C$28)</f>
        <v>ABBC5000Tolomatic</v>
      </c>
      <c r="E28" s="22" t="s">
        <v>1741</v>
      </c>
      <c r="F28" s="23">
        <v>1500</v>
      </c>
      <c r="G28" s="23">
        <v>7560</v>
      </c>
      <c r="H28" s="22" t="s">
        <v>1696</v>
      </c>
    </row>
    <row r="29" spans="1:8" ht="15">
      <c r="A29" s="25" t="s">
        <v>1155</v>
      </c>
      <c r="B29" s="1102"/>
      <c r="C29" s="1105"/>
      <c r="D29" s="26" t="str">
        <f t="shared" ref="D29:D30" si="4">CONCATENATE(A29,$B$28,$C$28)</f>
        <v>KUKAC5000Tolomatic</v>
      </c>
      <c r="E29" s="25" t="s">
        <v>1741</v>
      </c>
      <c r="F29" s="26">
        <v>1500</v>
      </c>
      <c r="G29" s="26">
        <v>7560</v>
      </c>
      <c r="H29" s="25" t="s">
        <v>1697</v>
      </c>
    </row>
    <row r="30" spans="1:8" ht="15.75" thickBot="1">
      <c r="A30" s="24" t="s">
        <v>1153</v>
      </c>
      <c r="B30" s="1103"/>
      <c r="C30" s="1105"/>
      <c r="D30" s="21" t="str">
        <f t="shared" si="4"/>
        <v>FanucC5000Tolomatic</v>
      </c>
      <c r="E30" s="20" t="s">
        <v>1741</v>
      </c>
      <c r="F30" s="21">
        <v>1500</v>
      </c>
      <c r="G30" s="21">
        <v>7560</v>
      </c>
      <c r="H30" s="20">
        <v>28330057</v>
      </c>
    </row>
    <row r="31" spans="1:8" ht="15">
      <c r="A31" s="22" t="s">
        <v>1146</v>
      </c>
      <c r="B31" s="1101" t="s">
        <v>1150</v>
      </c>
      <c r="C31" s="1105"/>
      <c r="D31" s="470" t="str">
        <f>CONCATENATE(A31,$B$31,$C$28)</f>
        <v>ABBC8000Tolomatic</v>
      </c>
      <c r="E31" s="488" t="s">
        <v>1742</v>
      </c>
      <c r="F31" s="23">
        <v>1500</v>
      </c>
      <c r="G31" s="23">
        <v>11100</v>
      </c>
      <c r="H31" s="22">
        <v>28330079</v>
      </c>
    </row>
    <row r="32" spans="1:8" ht="15">
      <c r="A32" s="25" t="s">
        <v>1155</v>
      </c>
      <c r="B32" s="1102"/>
      <c r="C32" s="1105"/>
      <c r="D32" s="26" t="str">
        <f t="shared" ref="D32:D33" si="5">CONCATENATE(A32,$B$31,$C$28)</f>
        <v>KUKAC8000Tolomatic</v>
      </c>
      <c r="E32" s="466" t="s">
        <v>1742</v>
      </c>
      <c r="F32" s="26">
        <v>1500</v>
      </c>
      <c r="G32" s="26">
        <v>11100</v>
      </c>
      <c r="H32" s="25" t="s">
        <v>1743</v>
      </c>
    </row>
    <row r="33" spans="1:8" ht="15.75" thickBot="1">
      <c r="A33" s="24" t="s">
        <v>1153</v>
      </c>
      <c r="B33" s="1103"/>
      <c r="C33" s="1105"/>
      <c r="D33" s="21" t="str">
        <f t="shared" si="5"/>
        <v>FanucC8000Tolomatic</v>
      </c>
      <c r="E33" s="487" t="s">
        <v>1742</v>
      </c>
      <c r="F33" s="275">
        <v>1500</v>
      </c>
      <c r="G33" s="275">
        <v>11100</v>
      </c>
      <c r="H33" s="24">
        <v>28330081</v>
      </c>
    </row>
    <row r="34" spans="1:8" ht="15">
      <c r="A34" s="22" t="s">
        <v>1146</v>
      </c>
      <c r="B34" s="1101" t="s">
        <v>1166</v>
      </c>
      <c r="C34" s="1105"/>
      <c r="D34" s="470" t="str">
        <f>CONCATENATE(A34,$B$34,$C$28)</f>
        <v>ABBC8000 TunnelTolomatic</v>
      </c>
      <c r="E34" s="22" t="s">
        <v>1742</v>
      </c>
      <c r="F34" s="23">
        <v>1500</v>
      </c>
      <c r="G34" s="23">
        <v>11100</v>
      </c>
      <c r="H34" s="22">
        <v>28330034</v>
      </c>
    </row>
    <row r="35" spans="1:8" ht="15">
      <c r="A35" s="25" t="s">
        <v>1155</v>
      </c>
      <c r="B35" s="1102"/>
      <c r="C35" s="1105"/>
      <c r="D35" s="26" t="str">
        <f t="shared" ref="D35:D36" si="6">CONCATENATE(A35,$B$34,$C$28)</f>
        <v>KUKAC8000 TunnelTolomatic</v>
      </c>
      <c r="E35" s="25" t="s">
        <v>1742</v>
      </c>
      <c r="F35" s="26">
        <v>1500</v>
      </c>
      <c r="G35" s="26">
        <v>11100</v>
      </c>
      <c r="H35" s="25">
        <v>28330051</v>
      </c>
    </row>
    <row r="36" spans="1:8" ht="15.75" thickBot="1">
      <c r="A36" s="24" t="s">
        <v>1153</v>
      </c>
      <c r="B36" s="1103"/>
      <c r="C36" s="1105"/>
      <c r="D36" s="21" t="str">
        <f t="shared" si="6"/>
        <v>FanucC8000 TunnelTolomatic</v>
      </c>
      <c r="E36" s="20" t="s">
        <v>1742</v>
      </c>
      <c r="F36" s="21">
        <v>1500</v>
      </c>
      <c r="G36" s="275">
        <v>11100</v>
      </c>
      <c r="H36" s="20">
        <v>28330085</v>
      </c>
    </row>
    <row r="37" spans="1:8" ht="15">
      <c r="A37" s="22" t="s">
        <v>1146</v>
      </c>
      <c r="B37" s="1101" t="s">
        <v>1162</v>
      </c>
      <c r="C37" s="1105"/>
      <c r="D37" s="470" t="str">
        <f>CONCATENATE(A37,$B$37,$C$28)</f>
        <v>ABBX100Tolomatic</v>
      </c>
      <c r="E37" s="22" t="s">
        <v>1744</v>
      </c>
      <c r="F37" s="23">
        <v>2000</v>
      </c>
      <c r="G37" s="23">
        <v>14680</v>
      </c>
      <c r="H37" s="22">
        <v>28440187</v>
      </c>
    </row>
    <row r="38" spans="1:8" ht="15">
      <c r="A38" s="25" t="s">
        <v>1155</v>
      </c>
      <c r="B38" s="1102"/>
      <c r="C38" s="1105"/>
      <c r="D38" s="26" t="str">
        <f t="shared" ref="D38:D39" si="7">CONCATENATE(A38,$B$37,$C$28)</f>
        <v>KUKAX100Tolomatic</v>
      </c>
      <c r="E38" s="25" t="s">
        <v>1744</v>
      </c>
      <c r="F38" s="26">
        <v>2000</v>
      </c>
      <c r="G38" s="26">
        <v>14680</v>
      </c>
      <c r="H38" s="25">
        <v>28440189</v>
      </c>
    </row>
    <row r="39" spans="1:8" ht="15.75" thickBot="1">
      <c r="A39" s="24" t="s">
        <v>1153</v>
      </c>
      <c r="B39" s="1103"/>
      <c r="C39" s="1105"/>
      <c r="D39" s="21" t="str">
        <f t="shared" si="7"/>
        <v>FanucX100Tolomatic</v>
      </c>
      <c r="E39" s="20" t="s">
        <v>1744</v>
      </c>
      <c r="F39" s="21">
        <v>2000</v>
      </c>
      <c r="G39" s="21">
        <v>14680</v>
      </c>
      <c r="H39" s="20">
        <v>28440188</v>
      </c>
    </row>
    <row r="40" spans="1:8" ht="15">
      <c r="A40" s="22" t="s">
        <v>1146</v>
      </c>
      <c r="B40" s="1101" t="s">
        <v>1740</v>
      </c>
      <c r="C40" s="1105"/>
      <c r="D40" s="470" t="str">
        <f>CONCATENATE(A40,$B$40,$C$28)</f>
        <v>ABBX125Tolomatic</v>
      </c>
      <c r="E40" s="22" t="s">
        <v>1745</v>
      </c>
      <c r="F40" s="23">
        <v>2500</v>
      </c>
      <c r="G40" s="23">
        <v>24000</v>
      </c>
      <c r="H40" s="23">
        <v>28440192</v>
      </c>
    </row>
    <row r="41" spans="1:8" ht="15">
      <c r="A41" s="466" t="s">
        <v>1155</v>
      </c>
      <c r="B41" s="1102"/>
      <c r="C41" s="1105"/>
      <c r="D41" s="26" t="str">
        <f t="shared" ref="D41:D42" si="8">CONCATENATE(A41,$B$40,$C$28)</f>
        <v>KUKAX125Tolomatic</v>
      </c>
      <c r="E41" s="25" t="s">
        <v>1745</v>
      </c>
      <c r="F41" s="26">
        <v>2500</v>
      </c>
      <c r="G41" s="26">
        <v>24000</v>
      </c>
      <c r="H41" s="26">
        <v>28440191</v>
      </c>
    </row>
    <row r="42" spans="1:8" ht="15.75" thickBot="1">
      <c r="A42" s="20" t="s">
        <v>1153</v>
      </c>
      <c r="B42" s="1103"/>
      <c r="C42" s="1105"/>
      <c r="D42" s="21" t="str">
        <f t="shared" si="8"/>
        <v>FanucX125Tolomatic</v>
      </c>
      <c r="E42" s="20" t="s">
        <v>1745</v>
      </c>
      <c r="F42" s="21">
        <v>2500</v>
      </c>
      <c r="G42" s="21">
        <v>24000</v>
      </c>
      <c r="H42" s="24">
        <v>28440190</v>
      </c>
    </row>
    <row r="43" spans="1:8" ht="15">
      <c r="A43" s="22" t="s">
        <v>1146</v>
      </c>
      <c r="B43" s="1101" t="s">
        <v>1749</v>
      </c>
      <c r="C43" s="1105"/>
      <c r="D43" s="470" t="str">
        <f>CONCATENATE(A43,$B$43,$C$28)</f>
        <v>ABBX125 (Doppelzange)Tolomatic</v>
      </c>
      <c r="E43" s="22" t="s">
        <v>1746</v>
      </c>
      <c r="F43" s="23">
        <v>2500</v>
      </c>
      <c r="G43" s="23">
        <v>24000</v>
      </c>
      <c r="H43" s="23">
        <v>28440213</v>
      </c>
    </row>
    <row r="44" spans="1:8" ht="15">
      <c r="A44" s="466" t="s">
        <v>1155</v>
      </c>
      <c r="B44" s="1102"/>
      <c r="C44" s="1105"/>
      <c r="D44" s="26" t="str">
        <f t="shared" ref="D44:D45" si="9">CONCATENATE(A44,$B$43,$C$28)</f>
        <v>KUKAX125 (Doppelzange)Tolomatic</v>
      </c>
      <c r="E44" s="25" t="s">
        <v>1746</v>
      </c>
      <c r="F44" s="26">
        <v>2500</v>
      </c>
      <c r="G44" s="26">
        <v>24000</v>
      </c>
      <c r="H44" s="26">
        <v>28440212</v>
      </c>
    </row>
    <row r="45" spans="1:8" ht="15.75" thickBot="1">
      <c r="A45" s="20" t="s">
        <v>1153</v>
      </c>
      <c r="B45" s="1103"/>
      <c r="C45" s="1106"/>
      <c r="D45" s="21" t="str">
        <f t="shared" si="9"/>
        <v>FanucX125 (Doppelzange)Tolomatic</v>
      </c>
      <c r="E45" s="20" t="s">
        <v>1746</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1694</v>
      </c>
    </row>
    <row r="52" spans="1:3" hidden="1">
      <c r="A52" s="467" t="s">
        <v>1153</v>
      </c>
      <c r="B52" s="271" t="s">
        <v>1166</v>
      </c>
    </row>
    <row r="53" spans="1:3" hidden="1">
      <c r="B53" s="271" t="s">
        <v>1162</v>
      </c>
    </row>
    <row r="54" spans="1:3" hidden="1">
      <c r="B54" s="271" t="s">
        <v>1158</v>
      </c>
    </row>
    <row r="55" spans="1:3" hidden="1">
      <c r="B55" s="270" t="s">
        <v>1748</v>
      </c>
    </row>
    <row r="56" spans="1:3" hidden="1">
      <c r="B56" s="271" t="s">
        <v>1740</v>
      </c>
    </row>
    <row r="57" spans="1:3" hidden="1">
      <c r="B57" s="270" t="s">
        <v>1749</v>
      </c>
    </row>
    <row r="58" spans="1:3" hidden="1"/>
  </sheetData>
  <sheetProtection algorithmName="SHA-512" hashValue="rB2LBu/B7VCDcKGenSGLPdP5mEEcRjY0RGwkrle/0+ZWg+uiVS4bSc9lCV9p+Ojv5qfxQcrOUPyAFtHJRNXZ6Q==" saltValue="tNoAIDib9JhFRojxustoDg==" spinCount="100000" sheet="1" objects="1" scenarios="1"/>
  <mergeCells count="17">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s>
  <pageMargins left="0.7" right="0.7" top="0.78740157499999996" bottom="0.78740157499999996"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1687</v>
      </c>
    </row>
    <row r="56" spans="1:1">
      <c r="A56" s="29" t="s">
        <v>1674</v>
      </c>
    </row>
    <row r="57" spans="1:1">
      <c r="A57" s="29" t="s">
        <v>1303</v>
      </c>
    </row>
    <row r="58" spans="1:1">
      <c r="A58" s="29" t="s">
        <v>1304</v>
      </c>
    </row>
    <row r="59" spans="1:1">
      <c r="A59" s="29" t="s">
        <v>1305</v>
      </c>
    </row>
    <row r="60" spans="1:1">
      <c r="A60" s="29" t="s">
        <v>1306</v>
      </c>
    </row>
    <row r="61" spans="1:1">
      <c r="A61" s="29" t="s">
        <v>1686</v>
      </c>
    </row>
    <row r="62" spans="1:1" ht="25.5">
      <c r="A62" s="257" t="s">
        <v>1668</v>
      </c>
    </row>
    <row r="63" spans="1:1">
      <c r="A63" s="29" t="s">
        <v>1675</v>
      </c>
    </row>
    <row r="65" spans="1:1">
      <c r="A65" s="30" t="s">
        <v>1688</v>
      </c>
    </row>
    <row r="66" spans="1:1">
      <c r="A66" s="257" t="s">
        <v>1689</v>
      </c>
    </row>
    <row r="67" spans="1:1">
      <c r="A67" s="29" t="s">
        <v>1690</v>
      </c>
    </row>
    <row r="68" spans="1:1">
      <c r="A68" s="29" t="s">
        <v>1692</v>
      </c>
    </row>
    <row r="69" spans="1:1">
      <c r="A69" s="29" t="s">
        <v>1693</v>
      </c>
    </row>
    <row r="71" spans="1:1">
      <c r="A71" s="30" t="s">
        <v>1698</v>
      </c>
    </row>
    <row r="72" spans="1:1">
      <c r="A72" s="29" t="s">
        <v>1699</v>
      </c>
    </row>
    <row r="73" spans="1:1">
      <c r="A73" s="29" t="s">
        <v>1702</v>
      </c>
    </row>
    <row r="74" spans="1:1">
      <c r="A74" s="29" t="s">
        <v>1700</v>
      </c>
    </row>
    <row r="75" spans="1:1">
      <c r="A75" s="29" t="s">
        <v>1701</v>
      </c>
    </row>
    <row r="76" spans="1:1">
      <c r="A76" s="29" t="s">
        <v>1707</v>
      </c>
    </row>
    <row r="77" spans="1:1">
      <c r="A77" s="29" t="s">
        <v>1708</v>
      </c>
    </row>
    <row r="79" spans="1:1">
      <c r="A79" s="30" t="s">
        <v>1710</v>
      </c>
    </row>
    <row r="81" spans="1:1">
      <c r="A81" s="29" t="s">
        <v>1711</v>
      </c>
    </row>
    <row r="82" spans="1:1">
      <c r="A82" t="s">
        <v>1712</v>
      </c>
    </row>
    <row r="83" spans="1:1">
      <c r="A83" s="29" t="s">
        <v>1713</v>
      </c>
    </row>
    <row r="85" spans="1:1">
      <c r="A85" s="30" t="s">
        <v>1892</v>
      </c>
    </row>
    <row r="87" spans="1:1">
      <c r="A87" t="s">
        <v>1893</v>
      </c>
    </row>
    <row r="89" spans="1:1">
      <c r="A89" s="30" t="s">
        <v>1897</v>
      </c>
    </row>
    <row r="91" spans="1:1">
      <c r="A91" s="29" t="s">
        <v>1727</v>
      </c>
    </row>
    <row r="92" spans="1:1">
      <c r="A92" s="29" t="s">
        <v>1803</v>
      </c>
    </row>
    <row r="93" spans="1:1">
      <c r="A93" s="29" t="s">
        <v>1722</v>
      </c>
    </row>
    <row r="94" spans="1:1">
      <c r="A94" s="29" t="s">
        <v>1804</v>
      </c>
    </row>
    <row r="95" spans="1:1">
      <c r="A95" s="29" t="s">
        <v>1728</v>
      </c>
    </row>
    <row r="96" spans="1:1">
      <c r="A96" s="29" t="s">
        <v>1729</v>
      </c>
    </row>
    <row r="97" spans="1:1">
      <c r="A97" s="29" t="s">
        <v>1730</v>
      </c>
    </row>
    <row r="98" spans="1:1">
      <c r="A98" t="s">
        <v>1721</v>
      </c>
    </row>
    <row r="99" spans="1:1">
      <c r="A99" t="s">
        <v>1891</v>
      </c>
    </row>
    <row r="100" spans="1:1">
      <c r="A100" s="29" t="s">
        <v>1895</v>
      </c>
    </row>
    <row r="101" spans="1:1">
      <c r="A101" s="29" t="s">
        <v>1896</v>
      </c>
    </row>
    <row r="103" spans="1:1">
      <c r="A103" s="30" t="s">
        <v>1898</v>
      </c>
    </row>
    <row r="105" spans="1:1">
      <c r="A105" t="s">
        <v>1899</v>
      </c>
    </row>
    <row r="106" spans="1:1">
      <c r="A106" t="s">
        <v>1900</v>
      </c>
    </row>
    <row r="107" spans="1:1">
      <c r="A107" t="s">
        <v>1901</v>
      </c>
    </row>
    <row r="109" spans="1:1">
      <c r="A109" s="30" t="s">
        <v>1902</v>
      </c>
    </row>
    <row r="111" spans="1:1">
      <c r="A111" t="s">
        <v>1903</v>
      </c>
    </row>
    <row r="113" spans="1:1">
      <c r="A113" s="30" t="s">
        <v>1904</v>
      </c>
    </row>
    <row r="114" spans="1:1">
      <c r="A114" s="29" t="s">
        <v>1905</v>
      </c>
    </row>
    <row r="116" spans="1:1">
      <c r="A116" s="30" t="s">
        <v>1907</v>
      </c>
    </row>
    <row r="117" spans="1:1">
      <c r="A117" s="29" t="s">
        <v>1909</v>
      </c>
    </row>
    <row r="118" spans="1:1">
      <c r="A118" s="29" t="s">
        <v>1908</v>
      </c>
    </row>
    <row r="119" spans="1:1">
      <c r="A119" s="29" t="s">
        <v>1916</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8</vt:i4>
      </vt:variant>
      <vt:variant>
        <vt:lpstr>Intervalos nomeados</vt:lpstr>
      </vt:variant>
      <vt:variant>
        <vt:i4>4</vt:i4>
      </vt:variant>
    </vt:vector>
  </HeadingPairs>
  <TitlesOfParts>
    <vt:vector size="12" baseType="lpstr">
      <vt:lpstr>Blatt 0</vt:lpstr>
      <vt:lpstr>Blatt_1_1120R01</vt:lpstr>
      <vt:lpstr>Blatt_2_1120R01</vt:lpstr>
      <vt:lpstr>Punktplan LTVR_1_1120R01</vt:lpstr>
      <vt:lpstr>Materialliste</vt:lpstr>
      <vt:lpstr>Motordaten</vt:lpstr>
      <vt:lpstr>Hinweise (Notes)</vt:lpstr>
      <vt:lpstr>Änderungshistorie</vt:lpstr>
      <vt:lpstr>'Blatt 0'!Area_de_impressao</vt:lpstr>
      <vt:lpstr>Blatt_1_1120R01!Area_de_impressao</vt:lpstr>
      <vt:lpstr>Blatt_2_1120R01!Area_de_impressao</vt:lpstr>
      <vt:lpstr>'Punktplan LTVR_1_1120R01'!Area_de_impressao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2023-07-12T12:40:29Z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