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X_LONG_DIANT_GRIPPER_ST_1410_LH_RH\OS_0569_DMS_X_DETALHAMENTO\66-30D_350557______________________A02_ZSB_GREIFER_1410\PAYLOAD\"/>
    </mc:Choice>
  </mc:AlternateContent>
  <xr:revisionPtr revIDLastSave="0" documentId="13_ncr:1_{9CE481E3-AC52-44BE-AD91-94C83EAD7576}" xr6:coauthVersionLast="47" xr6:coauthVersionMax="47" xr10:uidLastSave="{00000000-0000-0000-0000-000000000000}"/>
  <workbookProtection workbookAlgorithmName="SHA-512" workbookHashValue="QKzGADdTSLivZLLo3U0URZU1SV8PWm0inig5OTyO4eyb9SWJ6NBx9o44mfsQ3veHJGI6TFj2TV+iDpzYyf9LtA==" workbookSaltValue="A10oGyixIttK5iy/HFZOYw=="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D33" i="60"/>
  <c r="N33" i="60" s="1"/>
  <c r="N34" i="60" s="1"/>
  <c r="P34" i="60" s="1"/>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D25" i="60"/>
  <c r="N25" i="60" s="1"/>
  <c r="N26" i="60" s="1"/>
  <c r="P26" i="60" s="1"/>
  <c r="J99" i="42"/>
  <c r="C8" i="30"/>
  <c r="K7" i="37" l="1"/>
  <c r="B44" i="40"/>
  <c r="F13" i="34" s="1"/>
  <c r="J12" i="37"/>
  <c r="E33" i="60"/>
  <c r="M34" i="60" s="1"/>
  <c r="O34" i="60" s="1"/>
  <c r="L122" i="42"/>
  <c r="I123" i="42"/>
  <c r="E29" i="60"/>
  <c r="M30" i="60" s="1"/>
  <c r="M31" i="60" s="1"/>
  <c r="O31" i="60" s="1"/>
  <c r="F36" i="38"/>
  <c r="D6" i="38"/>
  <c r="C6" i="38"/>
  <c r="J6" i="38" s="1"/>
  <c r="B46" i="40"/>
  <c r="F15" i="34" s="1"/>
  <c r="H99" i="42"/>
  <c r="L123" i="42"/>
  <c r="N122" i="42"/>
  <c r="B51" i="40"/>
  <c r="B18" i="30" s="1"/>
  <c r="K9" i="37"/>
  <c r="J7" i="37"/>
  <c r="T32" i="62"/>
  <c r="C39" i="40"/>
  <c r="B42" i="40"/>
  <c r="F11" i="34" s="1"/>
  <c r="P18" i="62"/>
  <c r="E18" i="62" s="1"/>
  <c r="Q18" i="62"/>
  <c r="H6" i="38"/>
  <c r="K6" i="38" s="1"/>
  <c r="L6" i="38" s="1"/>
  <c r="K8" i="38" s="1"/>
  <c r="H10" i="38" s="1"/>
  <c r="F48" i="37"/>
  <c r="K12" i="37"/>
  <c r="P25"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K51" i="37" s="1"/>
  <c r="M35" i="60" l="1"/>
  <c r="O35" i="60" s="1"/>
  <c r="O30" i="60"/>
  <c r="G46" i="37"/>
  <c r="C51" i="40"/>
  <c r="B15" i="30"/>
  <c r="Z4" i="62"/>
  <c r="E53" i="37"/>
  <c r="F52" i="37"/>
  <c r="E52" i="37"/>
  <c r="AE17" i="62"/>
  <c r="AA4" i="62"/>
  <c r="U13" i="62"/>
  <c r="G51" i="37"/>
  <c r="T14" i="62"/>
  <c r="T8" i="62"/>
  <c r="T13" i="62"/>
  <c r="T6" i="62"/>
  <c r="D54" i="37"/>
  <c r="I54" i="37" s="1"/>
  <c r="C52" i="37"/>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H52"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J46" i="37" l="1"/>
  <c r="I52" i="37"/>
  <c r="J51" i="37"/>
  <c r="O8" i="39"/>
  <c r="O10" i="39" s="1"/>
  <c r="L7" i="39" s="1"/>
  <c r="F22" i="39" s="1"/>
  <c r="K52" i="37"/>
  <c r="L54" i="37"/>
  <c r="G52" i="37"/>
  <c r="L53" i="37"/>
  <c r="L52" i="37"/>
  <c r="AG17" i="62"/>
  <c r="AH17" i="62"/>
  <c r="F8" i="39"/>
  <c r="J54" i="37"/>
  <c r="J48" i="37"/>
  <c r="F9" i="39"/>
  <c r="D20" i="39"/>
  <c r="D34" i="39" s="1"/>
  <c r="L29" i="60"/>
  <c r="D29" i="38"/>
  <c r="D30" i="38"/>
  <c r="D32" i="38" s="1"/>
  <c r="E32" i="38" s="1"/>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J52" i="37" l="1"/>
  <c r="AV9" i="62"/>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P52" i="37" s="1"/>
  <c r="I75" i="37"/>
  <c r="G75" i="37"/>
  <c r="H75" i="37"/>
  <c r="J76" i="37"/>
  <c r="K76" i="37"/>
  <c r="L76" i="37" s="1"/>
  <c r="B85" i="37"/>
  <c r="F84" i="37"/>
  <c r="E84" i="37"/>
  <c r="D84" i="37"/>
  <c r="C84" i="37"/>
  <c r="I83" i="37"/>
  <c r="G83" i="37"/>
  <c r="H83" i="37"/>
  <c r="B73" i="37"/>
  <c r="E74" i="37"/>
  <c r="F74" i="37"/>
  <c r="C74" i="37"/>
  <c r="D74" i="37"/>
  <c r="J82" i="37"/>
  <c r="K82" i="37"/>
  <c r="L82" i="37" s="1"/>
  <c r="Q52" i="37" l="1"/>
  <c r="R52" i="37" s="1"/>
  <c r="O53" i="37" s="1"/>
  <c r="Q53" i="37" s="1"/>
  <c r="K83" i="37"/>
  <c r="L83" i="37" s="1"/>
  <c r="J83" i="37"/>
  <c r="G74" i="37"/>
  <c r="H74" i="37"/>
  <c r="I74" i="37"/>
  <c r="I84" i="37"/>
  <c r="G84" i="37"/>
  <c r="H84" i="37"/>
  <c r="J75" i="37"/>
  <c r="K75" i="37"/>
  <c r="L75" i="37" s="1"/>
  <c r="F85" i="37"/>
  <c r="D85" i="37"/>
  <c r="E85" i="37"/>
  <c r="C85" i="37"/>
  <c r="E73" i="37"/>
  <c r="F73" i="37"/>
  <c r="D73" i="37"/>
  <c r="C73" i="37"/>
  <c r="P53" i="37" l="1"/>
  <c r="R53" i="37" s="1"/>
  <c r="N46" i="37"/>
  <c r="B90" i="37" s="1"/>
  <c r="J74" i="37"/>
  <c r="K74" i="37"/>
  <c r="L74" i="37" s="1"/>
  <c r="J84" i="37"/>
  <c r="K84" i="37"/>
  <c r="L84" i="37" s="1"/>
  <c r="I85" i="37"/>
  <c r="H85" i="37"/>
  <c r="G85" i="37"/>
  <c r="H73" i="37"/>
  <c r="I73" i="37"/>
  <c r="G73" i="37"/>
  <c r="C90" i="37" l="1"/>
  <c r="F90" i="37"/>
  <c r="D90" i="37"/>
  <c r="K37" i="37"/>
  <c r="E90" i="37"/>
  <c r="J85" i="37"/>
  <c r="K85" i="37"/>
  <c r="L85" i="37" s="1"/>
  <c r="J73" i="37"/>
  <c r="J43" i="37" s="1"/>
  <c r="K73" i="37"/>
  <c r="L73" i="37" s="1"/>
  <c r="L90" i="37" l="1"/>
  <c r="G90" i="37"/>
  <c r="K90" i="37"/>
  <c r="I37" i="37" s="1"/>
  <c r="E37" i="37" s="1"/>
  <c r="H90" i="37"/>
  <c r="I90" i="37"/>
  <c r="H36" i="37"/>
  <c r="O63" i="37"/>
  <c r="O65" i="37" s="1"/>
  <c r="E11" i="39" l="1"/>
  <c r="D11" i="39" s="1"/>
  <c r="F11" i="39"/>
  <c r="J90" i="37"/>
  <c r="Q65" i="37"/>
  <c r="P65" i="37"/>
  <c r="R11" i="39" l="1"/>
  <c r="E65" i="39"/>
  <c r="D27" i="39"/>
  <c r="D66" i="39"/>
  <c r="E46" i="39"/>
  <c r="D47" i="39"/>
  <c r="L10" i="39"/>
  <c r="E26" i="39"/>
  <c r="T65" i="37"/>
  <c r="Y65" i="37" s="1"/>
  <c r="V65" i="37"/>
  <c r="W65" i="37"/>
  <c r="S65" i="37"/>
  <c r="X65" i="37" s="1"/>
  <c r="R65" i="37"/>
  <c r="U65" i="37"/>
  <c r="F46" i="39" l="1"/>
  <c r="F26" i="39"/>
  <c r="E39" i="39"/>
  <c r="E57" i="39"/>
  <c r="D58" i="39"/>
  <c r="D40" i="39"/>
  <c r="R27" i="39"/>
  <c r="G29" i="60"/>
  <c r="D27" i="30"/>
  <c r="Z65" i="37"/>
  <c r="AA65" i="37"/>
  <c r="AB65" i="37" l="1"/>
  <c r="O66" i="37" s="1"/>
  <c r="P66" i="37" s="1"/>
  <c r="H16" i="60"/>
  <c r="H27" i="30"/>
  <c r="F57" i="39"/>
  <c r="F39" i="39"/>
  <c r="Q66" i="37" l="1"/>
  <c r="S66" i="37" s="1"/>
  <c r="X66" i="37" s="1"/>
  <c r="E16" i="60"/>
  <c r="C16" i="60"/>
  <c r="F16" i="60"/>
  <c r="W66" i="37" l="1"/>
  <c r="V66" i="37"/>
  <c r="U66" i="37"/>
  <c r="R66" i="37"/>
  <c r="Z66" i="37" s="1"/>
  <c r="T66" i="37"/>
  <c r="Y66" i="37" s="1"/>
  <c r="AA66" i="37" s="1"/>
  <c r="AB66" i="37" l="1"/>
  <c r="O67" i="37" s="1"/>
  <c r="P67" i="37" s="1"/>
  <c r="Q67" i="37" l="1"/>
  <c r="U67" i="37" s="1"/>
  <c r="V67" i="37" l="1"/>
  <c r="S67" i="37"/>
  <c r="X67" i="37" s="1"/>
  <c r="T67" i="37"/>
  <c r="Y67" i="37" s="1"/>
  <c r="W67" i="37"/>
  <c r="R67" i="37"/>
  <c r="AA67" i="37" l="1"/>
  <c r="Z67" i="37"/>
  <c r="AB67" i="37" l="1"/>
  <c r="O68" i="37" s="1"/>
  <c r="Q68" i="37" s="1"/>
  <c r="P68" i="37" l="1"/>
  <c r="S68" i="37" s="1"/>
  <c r="X68" i="37" s="1"/>
  <c r="U68" i="37" l="1"/>
  <c r="T68" i="37"/>
  <c r="Y68" i="37" s="1"/>
  <c r="R68" i="37"/>
  <c r="V68" i="37"/>
  <c r="W68" i="37"/>
  <c r="AA68" i="37" l="1"/>
  <c r="Z68" i="37"/>
  <c r="AB68" i="37" l="1"/>
  <c r="O69" i="37" s="1"/>
  <c r="Q69" i="37" s="1"/>
  <c r="P69" i="37" l="1"/>
  <c r="W69" i="37"/>
  <c r="V69" i="37"/>
  <c r="U69" i="37"/>
  <c r="R69" i="37" l="1"/>
  <c r="T69" i="37"/>
  <c r="Y69" i="37" s="1"/>
  <c r="S69" i="37"/>
  <c r="X69" i="37" s="1"/>
  <c r="AA69" i="37" l="1"/>
  <c r="Z69" i="37"/>
  <c r="AB69" i="37" l="1"/>
  <c r="O70" i="37" s="1"/>
  <c r="N63" i="37" s="1"/>
  <c r="B89" i="37" s="1"/>
  <c r="F89" i="37" s="1"/>
  <c r="Q70" i="37"/>
  <c r="E89" i="37"/>
  <c r="D89" i="37" l="1"/>
  <c r="C89" i="37"/>
  <c r="P70" i="37"/>
  <c r="R70" i="37" s="1"/>
  <c r="K36" i="37"/>
  <c r="S70" i="37"/>
  <c r="X70" i="37" s="1"/>
  <c r="L89" i="37"/>
  <c r="T70" i="37" l="1"/>
  <c r="Y70" i="37" s="1"/>
  <c r="V70" i="37"/>
  <c r="U70" i="37"/>
  <c r="Z70" i="37" s="1"/>
  <c r="W70" i="37"/>
  <c r="H89" i="37"/>
  <c r="I89" i="37"/>
  <c r="K89" i="37"/>
  <c r="G89" i="37"/>
  <c r="J89" i="37" l="1"/>
  <c r="I36" i="37" s="1"/>
  <c r="E36" i="37" s="1"/>
  <c r="N89" i="37"/>
  <c r="J36" i="37" s="1"/>
  <c r="AA70" i="37"/>
  <c r="AB70" i="37" s="1"/>
  <c r="F10" i="39" l="1"/>
  <c r="E10" i="39"/>
  <c r="D10" i="39" s="1"/>
  <c r="O89" i="37"/>
  <c r="R10" i="39" l="1"/>
  <c r="D65" i="39"/>
  <c r="D26" i="39"/>
  <c r="D46" i="39"/>
  <c r="D49" i="39" l="1"/>
  <c r="E49" i="39"/>
  <c r="F49" i="39"/>
  <c r="R26" i="39"/>
  <c r="D39" i="39"/>
  <c r="D57" i="39"/>
  <c r="G25" i="60"/>
  <c r="D26" i="30"/>
  <c r="H26" i="30" l="1"/>
  <c r="H15" i="60"/>
  <c r="D60" i="39"/>
  <c r="F60" i="39"/>
  <c r="E60" i="39"/>
  <c r="D42" i="39"/>
  <c r="F42" i="39"/>
  <c r="E42" i="39"/>
  <c r="E16" i="39" l="1"/>
  <c r="E43" i="39"/>
  <c r="E17" i="39" s="1"/>
  <c r="F15" i="60"/>
  <c r="E15" i="60"/>
  <c r="C15" i="60"/>
  <c r="F16" i="39"/>
  <c r="F43" i="39"/>
  <c r="F17" i="39" s="1"/>
  <c r="D43" i="39"/>
  <c r="D17" i="39" s="1"/>
  <c r="R17" i="39" s="1"/>
  <c r="H14" i="30" s="1"/>
  <c r="D16" i="39"/>
  <c r="R16" i="39" s="1"/>
  <c r="H13" i="30" s="1"/>
  <c r="I43" i="39"/>
  <c r="I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<sst xmlns="http://schemas.openxmlformats.org/spreadsheetml/2006/main" count="6671" uniqueCount="4042">
  <si>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</si>
  <si>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</si>
  <si>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</si>
  <si>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</si>
  <si>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</si>
  <si>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</si>
  <si>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</si>
  <si>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</si>
  <si>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</si>
  <si>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</si>
  <si>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</si>
  <si>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</si>
  <si>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</si>
  <si>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</si>
  <si>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</si>
  <si>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</si>
  <si>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</si>
  <si>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</si>
  <si>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</si>
  <si>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</si>
  <si>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</si>
  <si>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</si>
  <si>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</si>
  <si>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</si>
  <si>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</si>
  <si>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</si>
  <si>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</si>
  <si>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</si>
  <si>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</si>
  <si>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</si>
  <si>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</si>
  <si>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</si>
  <si>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</si>
  <si>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</si>
  <si>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</si>
  <si>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</si>
  <si>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</si>
  <si>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</si>
  <si>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</si>
  <si>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</si>
  <si>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</si>
  <si>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</si>
  <si>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</si>
  <si>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</si>
  <si>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</si>
  <si>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</si>
  <si>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</si>
  <si>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</si>
  <si>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</si>
  <si>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</si>
  <si>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</si>
  <si>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</si>
  <si>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</si>
  <si>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</si>
  <si>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</si>
  <si>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</si>
  <si>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</si>
  <si>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</si>
  <si>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</si>
  <si>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</si>
  <si>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</si>
  <si>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</si>
  <si>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</si>
  <si>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</si>
  <si>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</si>
  <si>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</si>
  <si>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</si>
  <si>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</si>
  <si>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</si>
  <si>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</si>
  <si>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</si>
  <si>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</si>
  <si>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</si>
  <si>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</si>
  <si>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</si>
  <si>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</si>
  <si>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</si>
  <si>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</si>
  <si>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</si>
  <si>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</si>
  <si>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</si>
  <si>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</si>
  <si>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</si>
  <si>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</si>
  <si>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</si>
  <si>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</si>
  <si>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</si>
  <si>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</si>
  <si>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</si>
  <si>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</si>
  <si>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</si>
  <si>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</si>
  <si>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</si>
  <si>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</si>
  <si>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</si>
  <si>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</si>
  <si>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</si>
  <si>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</si>
  <si>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</si>
  <si>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</si>
  <si>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</si>
  <si>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</si>
  <si>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</si>
  <si>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</si>
  <si>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</si>
  <si>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</si>
  <si>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</si>
  <si>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</si>
  <si>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</si>
  <si>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</si>
  <si>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</si>
  <si>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</si>
  <si>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</si>
  <si>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</si>
  <si>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</si>
  <si>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</si>
  <si>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</si>
  <si>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</si>
  <si>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</si>
  <si>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</si>
  <si>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</si>
  <si>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</si>
  <si>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</si>
  <si>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</si>
  <si>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</si>
  <si>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</si>
  <si>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</si>
  <si>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</si>
  <si>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</si>
  <si>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</si>
  <si>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</si>
  <si>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</si>
  <si>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</si>
  <si>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</si>
  <si>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</si>
  <si>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</si>
  <si>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</si>
  <si>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</si>
  <si>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</si>
  <si>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</si>
  <si>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</si>
  <si>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</si>
  <si>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</si>
  <si>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</si>
  <si>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</si>
  <si>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</si>
  <si>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</si>
  <si>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</si>
  <si>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</si>
  <si>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</si>
  <si>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</si>
  <si>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</si>
  <si>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</si>
  <si>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</si>
  <si>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</si>
  <si>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</si>
  <si>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</si>
  <si>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</si>
  <si>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</si>
  <si>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</si>
  <si>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</si>
  <si>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</si>
  <si>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</si>
  <si>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</si>
  <si>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</si>
  <si>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</si>
  <si>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</si>
  <si>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</si>
  <si>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</si>
  <si>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</si>
  <si>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</si>
  <si>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</si>
  <si>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</si>
  <si>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</si>
  <si>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</si>
  <si>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</si>
  <si>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</si>
  <si>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</si>
  <si>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</si>
  <si>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</si>
  <si>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</si>
  <si>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</si>
  <si>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</si>
  <si>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</si>
  <si>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</si>
  <si>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</si>
  <si>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</si>
  <si>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</si>
  <si>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</si>
  <si>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</si>
  <si>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</si>
  <si>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</si>
  <si>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</si>
  <si>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</si>
  <si>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</si>
  <si>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</si>
  <si>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</si>
  <si>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</si>
  <si>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</si>
  <si>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</si>
  <si>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</si>
  <si>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</si>
  <si>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</si>
  <si>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</si>
  <si>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</si>
  <si>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</si>
  <si>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</si>
  <si>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</si>
  <si>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</si>
  <si>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</si>
  <si>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</si>
  <si>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</si>
  <si>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</si>
  <si>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</si>
  <si>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</si>
  <si>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</si>
  <si>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</si>
  <si>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</si>
  <si>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</si>
  <si>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</si>
  <si>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</si>
  <si>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</si>
  <si>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</si>
  <si>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</si>
  <si>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</si>
  <si>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</si>
  <si>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</si>
  <si>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</si>
  <si>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</si>
  <si>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</si>
  <si>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</si>
  <si>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</si>
  <si>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</si>
  <si>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</si>
  <si>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</si>
  <si>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</si>
  <si>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</si>
  <si>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</si>
  <si>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</si>
  <si>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</si>
  <si>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</si>
  <si>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</si>
  <si>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</si>
  <si>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</si>
  <si>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</si>
  <si>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</si>
  <si>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</si>
  <si>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</si>
  <si>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</si>
  <si>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</si>
  <si>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</si>
  <si>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</si>
  <si>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</si>
  <si>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</si>
  <si>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</si>
  <si>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</si>
  <si>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</si>
  <si>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</si>
  <si>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</si>
  <si>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</si>
  <si>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</si>
  <si>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</si>
  <si>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</si>
  <si>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</si>
  <si>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</si>
  <si>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</si>
  <si>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</si>
  <si>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</si>
  <si>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</si>
  <si>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</si>
  <si>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</si>
  <si>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</si>
  <si>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</si>
  <si>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</si>
  <si>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</si>
  <si>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</si>
  <si>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</si>
  <si>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</si>
  <si>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</si>
  <si>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</si>
  <si>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</si>
  <si>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</si>
  <si>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</si>
  <si>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</si>
  <si>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</si>
  <si>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</si>
  <si>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</si>
  <si>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</si>
  <si>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</si>
  <si>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</si>
  <si>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</si>
  <si>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</si>
  <si>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</si>
  <si>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</si>
  <si>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</si>
  <si>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</si>
  <si>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</si>
  <si>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</si>
  <si>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</si>
  <si>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</si>
  <si>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</si>
  <si>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</si>
  <si>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</si>
  <si>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</si>
  <si>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</si>
  <si>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</si>
  <si>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</si>
  <si>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</si>
  <si>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</si>
  <si>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</si>
  <si>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</si>
  <si>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</si>
  <si>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</si>
  <si>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</si>
  <si>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</si>
  <si>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</si>
  <si>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</si>
  <si>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</si>
  <si>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</si>
  <si>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</si>
  <si>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</si>
  <si>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</si>
  <si>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</si>
  <si>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</si>
  <si>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</si>
  <si>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</si>
  <si>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</si>
  <si>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</si>
  <si>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</si>
  <si>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</si>
  <si>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</si>
  <si>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</si>
  <si>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</si>
  <si>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</si>
  <si>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</si>
  <si>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</si>
  <si>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</si>
  <si>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</si>
  <si>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</si>
  <si>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</si>
  <si>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</si>
  <si>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</si>
  <si>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</si>
  <si>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</si>
  <si>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</si>
  <si>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</si>
  <si>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</si>
  <si>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</si>
  <si>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</si>
  <si>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</si>
  <si>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</si>
  <si>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</si>
  <si>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</si>
  <si>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</si>
  <si>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</si>
  <si>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</si>
  <si>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</si>
  <si>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</si>
  <si>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</si>
  <si>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</si>
  <si>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</si>
  <si>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</si>
  <si>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</si>
  <si>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</si>
  <si>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</si>
  <si>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</si>
  <si>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</si>
  <si>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</si>
  <si>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</si>
  <si>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</si>
  <si>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</si>
  <si>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</si>
  <si>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</si>
  <si>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</si>
  <si>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</si>
  <si>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</si>
  <si>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</si>
  <si>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</si>
  <si>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</si>
  <si>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</si>
  <si>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</si>
  <si>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</si>
  <si>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</si>
  <si>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</si>
  <si>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</si>
  <si>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</si>
  <si>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</si>
  <si>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</si>
  <si>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</si>
  <si>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</si>
  <si>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</si>
  <si>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</si>
  <si>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</si>
  <si>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</si>
  <si>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</si>
  <si>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</si>
  <si>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</si>
  <si>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</si>
  <si>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</si>
  <si>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</si>
  <si>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</si>
  <si>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</si>
  <si>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</si>
  <si>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</si>
  <si>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</si>
  <si>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</si>
  <si>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</si>
  <si>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</si>
  <si>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</si>
  <si>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</si>
  <si>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</si>
  <si>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</si>
  <si>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</si>
  <si>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</si>
  <si>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</si>
  <si>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</si>
  <si>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</si>
  <si>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</si>
  <si>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</si>
  <si>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</si>
  <si>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</si>
  <si>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</si>
  <si>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</si>
  <si>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</si>
  <si>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</si>
  <si>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</si>
  <si>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</si>
  <si>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</si>
  <si>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</si>
  <si>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</si>
  <si>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</si>
  <si>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</si>
  <si>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</si>
  <si>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</si>
  <si>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</si>
  <si>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</si>
  <si>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</si>
  <si>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</si>
  <si>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</si>
  <si>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</si>
  <si>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</si>
  <si>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</si>
  <si>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</si>
  <si>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</si>
  <si>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</si>
  <si>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</si>
  <si>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</si>
  <si>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</si>
  <si>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</si>
  <si>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</si>
  <si>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</si>
  <si>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</si>
  <si>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</si>
  <si>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</si>
  <si>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</si>
  <si>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</si>
  <si>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</si>
  <si>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</si>
  <si>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</si>
  <si>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</si>
  <si>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</si>
  <si>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</si>
  <si>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</si>
  <si>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</si>
  <si>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</si>
  <si>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</si>
  <si>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</si>
  <si>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</si>
  <si>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</si>
  <si>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</si>
  <si>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</si>
  <si>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</si>
  <si>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</si>
  <si>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</si>
  <si>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</si>
  <si>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</si>
  <si>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</si>
  <si>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</si>
  <si>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</si>
  <si>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</si>
  <si>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</si>
  <si>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</si>
  <si>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</si>
  <si>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</si>
  <si>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</si>
  <si>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</si>
  <si>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</si>
  <si>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</si>
  <si>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</si>
  <si>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</si>
  <si>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</si>
  <si>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</si>
  <si>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</si>
  <si>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</si>
  <si>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</si>
  <si>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</si>
  <si>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</si>
  <si>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</si>
  <si>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</si>
  <si>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</si>
  <si>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</si>
  <si>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</si>
  <si>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</si>
  <si>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</si>
  <si>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</si>
  <si>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</si>
  <si>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</si>
  <si>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</si>
  <si>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</si>
  <si>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</si>
  <si>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</si>
  <si>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</si>
  <si>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</si>
  <si>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</si>
  <si>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</si>
  <si>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</si>
  <si>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</si>
  <si>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</si>
  <si>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</si>
  <si>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</si>
  <si>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</si>
  <si>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</si>
  <si>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</si>
  <si>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</si>
  <si>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</si>
  <si>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</si>
  <si>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</si>
  <si>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</si>
  <si>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</si>
  <si>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</si>
  <si>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</si>
  <si>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</si>
  <si>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</si>
  <si>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</si>
  <si>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</si>
  <si>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</si>
  <si>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</si>
  <si>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</si>
  <si>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</si>
  <si>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</si>
  <si>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</si>
  <si>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</si>
  <si>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</si>
  <si>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</si>
  <si>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</si>
  <si>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</si>
  <si>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</si>
  <si>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</si>
  <si>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</si>
  <si>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</si>
  <si>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</si>
  <si>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</si>
  <si>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</si>
  <si>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</si>
  <si>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</si>
  <si>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</si>
  <si>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</si>
  <si>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</si>
  <si>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</si>
  <si>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</si>
  <si>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</si>
  <si>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</si>
  <si>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</si>
  <si>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</si>
  <si>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</si>
  <si>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</si>
  <si>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</si>
  <si>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</si>
  <si>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</si>
  <si>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</si>
  <si>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</si>
  <si>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</si>
  <si>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</si>
  <si>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</si>
  <si>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</si>
  <si>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</si>
  <si>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</si>
  <si>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</si>
  <si>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</si>
  <si>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</si>
  <si>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</si>
  <si>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</si>
  <si>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</si>
  <si>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</si>
  <si>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</si>
  <si>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</si>
  <si>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</si>
  <si>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</si>
  <si>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</si>
  <si>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</si>
  <si>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</si>
  <si>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</si>
  <si>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</si>
  <si>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</si>
  <si>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</si>
  <si>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</si>
  <si>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</si>
  <si>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</si>
  <si>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</si>
  <si>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</si>
  <si>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</si>
  <si>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</si>
  <si>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</si>
  <si>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</si>
  <si>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</si>
  <si>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</si>
  <si>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</si>
  <si>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</si>
  <si>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</si>
  <si>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</si>
  <si>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</si>
  <si>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</si>
  <si>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</si>
  <si>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</si>
  <si>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</si>
  <si>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</si>
  <si>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</si>
  <si>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</si>
  <si>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</si>
  <si>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</si>
  <si>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</si>
  <si>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</si>
  <si>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</si>
  <si>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</si>
  <si>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</si>
  <si>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</si>
  <si>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</si>
  <si>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</si>
  <si>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</si>
  <si>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</si>
  <si>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</si>
  <si>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</si>
  <si>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</si>
  <si>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</si>
  <si>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</si>
  <si>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</si>
  <si>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</si>
  <si>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</si>
  <si>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</si>
  <si>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</si>
  <si>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</si>
  <si>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</si>
  <si>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</si>
  <si>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</si>
  <si>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</si>
  <si>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</si>
  <si>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</si>
  <si>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</si>
  <si>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</si>
  <si>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</si>
  <si>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</si>
  <si>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</si>
  <si>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</si>
  <si>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</si>
  <si>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</si>
  <si>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</si>
  <si>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</si>
  <si>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</si>
  <si>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</si>
  <si>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</si>
  <si>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</si>
  <si>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</si>
  <si>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</si>
  <si>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</si>
  <si>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</si>
  <si>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</si>
  <si>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</si>
  <si>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</si>
  <si>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</si>
  <si>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</si>
  <si>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</si>
  <si>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</si>
  <si>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</si>
  <si>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</si>
  <si>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</si>
  <si>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</si>
  <si>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</si>
  <si>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</si>
  <si>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</si>
  <si>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</si>
  <si>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</si>
  <si>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</si>
  <si>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</si>
  <si>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</si>
  <si>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</si>
  <si>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</si>
  <si>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</si>
  <si>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</si>
  <si>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</si>
  <si>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</si>
  <si>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</si>
  <si>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</si>
  <si>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</si>
  <si>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</si>
  <si>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</si>
  <si>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</si>
  <si>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</si>
  <si>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</si>
  <si>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</si>
  <si>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</si>
  <si>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</si>
  <si>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</si>
  <si>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</si>
  <si>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</si>
  <si>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</si>
  <si>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</si>
  <si>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</si>
  <si>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</si>
  <si>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</si>
  <si>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</si>
  <si>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</si>
  <si>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</si>
  <si>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</si>
  <si>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</si>
  <si>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</si>
  <si>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</si>
  <si>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</si>
  <si>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</si>
  <si>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</si>
  <si>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</si>
  <si>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</si>
  <si>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</si>
  <si>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</si>
  <si>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</si>
  <si>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</si>
  <si>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</si>
  <si>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</si>
  <si>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</si>
  <si>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</si>
  <si>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</si>
  <si>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</si>
  <si>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</si>
  <si>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</si>
  <si>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</si>
  <si>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</si>
  <si>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</si>
  <si>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</si>
  <si>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</si>
  <si>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</si>
  <si>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</si>
  <si>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</si>
  <si>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</si>
  <si>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</si>
  <si>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</si>
  <si>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</si>
  <si>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</si>
  <si>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</si>
  <si>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</si>
  <si>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</si>
  <si>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</si>
  <si>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</si>
  <si>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</si>
  <si>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</si>
  <si>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</si>
  <si>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</si>
  <si>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</si>
  <si>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</si>
  <si>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</si>
  <si>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</si>
  <si>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</si>
  <si>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</si>
  <si>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</si>
  <si>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</si>
  <si>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</si>
  <si>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</si>
  <si>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</si>
  <si>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</si>
  <si>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</si>
  <si>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</si>
  <si>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</si>
  <si>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</si>
  <si>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</si>
  <si>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</si>
  <si>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</si>
  <si>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</si>
  <si>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</si>
  <si>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</si>
  <si>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</si>
  <si>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</si>
  <si>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</si>
  <si>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</si>
  <si>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</si>
  <si>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</si>
  <si>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</si>
  <si>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</si>
  <si>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</si>
  <si>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</si>
  <si>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</si>
  <si>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</si>
  <si>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</si>
  <si>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</si>
  <si>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</si>
  <si>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</si>
  <si>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</si>
  <si>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</si>
  <si>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</si>
  <si>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</si>
  <si>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</si>
  <si>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</si>
  <si>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</si>
  <si>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</si>
  <si>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</si>
  <si>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</si>
  <si>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</si>
  <si>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</si>
  <si>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</si>
  <si>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</si>
  <si>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</si>
  <si>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</si>
  <si>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</si>
  <si>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</si>
  <si>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</si>
  <si>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</si>
  <si>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</si>
  <si>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</si>
  <si>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</si>
  <si>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</si>
  <si>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</si>
  <si>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</si>
  <si>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</si>
  <si>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</si>
  <si>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</si>
  <si>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</si>
  <si>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</si>
  <si>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</si>
  <si>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</si>
  <si>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</si>
  <si>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</si>
  <si>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</si>
  <si>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</si>
  <si>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</si>
  <si>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</si>
  <si>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</si>
  <si>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</si>
  <si>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</si>
  <si>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</si>
  <si>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</si>
  <si>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</si>
  <si>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</si>
  <si>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</si>
  <si>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</si>
  <si>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</si>
  <si>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</si>
  <si>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</si>
  <si>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</si>
  <si>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</si>
  <si>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</si>
  <si>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</si>
  <si>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</si>
  <si>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</si>
  <si>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</si>
  <si>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</si>
  <si>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</si>
  <si>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</si>
  <si>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</si>
  <si>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</si>
  <si>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</si>
  <si>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</si>
  <si>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</si>
  <si>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</si>
  <si>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</si>
  <si>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</si>
  <si>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</si>
  <si>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</si>
  <si>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</si>
  <si>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</si>
  <si>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</si>
  <si>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</si>
  <si>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</si>
  <si>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</si>
  <si>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</si>
  <si>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</si>
  <si>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</si>
  <si>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</si>
  <si>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</si>
  <si>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</si>
  <si>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</si>
  <si>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</si>
  <si>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</si>
  <si>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</si>
  <si>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</si>
  <si>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</si>
  <si>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</si>
  <si>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</si>
  <si>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</si>
  <si>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</si>
  <si>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</si>
  <si>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</si>
  <si>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</si>
  <si>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</si>
  <si>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</si>
  <si>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</si>
  <si>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</si>
  <si>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</si>
  <si>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</si>
  <si>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</si>
  <si>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</si>
  <si>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</si>
  <si>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</si>
  <si>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</si>
  <si>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</si>
  <si>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</si>
  <si>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</si>
  <si>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</si>
  <si>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</si>
  <si>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</si>
  <si>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</si>
  <si>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</si>
  <si>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</si>
  <si>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</si>
  <si>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</si>
  <si>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</si>
  <si>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</si>
  <si>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</si>
  <si>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</si>
  <si>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</si>
  <si>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</si>
  <si>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</si>
  <si>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</si>
  <si>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</si>
  <si>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</si>
  <si>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</si>
  <si>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</si>
  <si>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</si>
  <si>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</si>
  <si>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</si>
  <si>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</si>
  <si>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</si>
  <si>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</si>
  <si>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</si>
  <si>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</si>
  <si>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</si>
  <si>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</si>
  <si>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</si>
  <si>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</si>
  <si>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</si>
  <si>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</si>
  <si>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</si>
  <si>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</si>
  <si>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</si>
  <si>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</si>
  <si>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</si>
  <si>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</si>
  <si>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</si>
  <si>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</si>
  <si>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</si>
  <si>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</si>
  <si>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</si>
  <si>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</si>
  <si>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</si>
  <si>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</si>
  <si>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</si>
  <si>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</si>
  <si>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</si>
  <si>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</si>
  <si>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</si>
  <si>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</si>
  <si>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</si>
  <si>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</si>
  <si>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</si>
  <si>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</si>
  <si>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</si>
  <si>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</si>
  <si>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</si>
  <si>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</si>
  <si>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</si>
  <si>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</si>
  <si>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</si>
  <si>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</si>
  <si>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</si>
  <si>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</si>
  <si>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</si>
  <si>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</si>
  <si>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</si>
  <si>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</si>
  <si>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</si>
  <si>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</si>
  <si>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</si>
  <si>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</si>
  <si>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</si>
  <si>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</si>
  <si>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</si>
  <si>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</si>
  <si>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</si>
  <si>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</si>
  <si>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</si>
  <si>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</si>
  <si>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</si>
  <si>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</si>
  <si>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</si>
  <si>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</si>
  <si>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</si>
  <si>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</si>
  <si>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</si>
  <si>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</si>
  <si>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</si>
  <si>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</si>
  <si>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</si>
  <si>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</si>
  <si>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</si>
  <si>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</si>
  <si>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</si>
  <si>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</si>
  <si>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</si>
  <si>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</si>
  <si>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</si>
  <si>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</si>
  <si>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</si>
  <si>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</si>
  <si>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</si>
  <si>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</si>
  <si>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</si>
  <si>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</si>
  <si>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</si>
  <si>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</si>
  <si>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</si>
  <si>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</si>
  <si>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</si>
  <si>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</si>
  <si>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</si>
  <si>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</si>
  <si>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</si>
  <si>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</si>
  <si>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</si>
  <si>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</si>
  <si>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</si>
  <si>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</si>
  <si>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</si>
  <si>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</si>
  <si>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</si>
  <si>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</si>
  <si>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</si>
  <si>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</si>
  <si>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</si>
  <si>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</si>
  <si>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</si>
  <si>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</si>
  <si>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</si>
  <si>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</si>
  <si>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</si>
  <si>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</si>
  <si>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</si>
  <si>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</si>
  <si>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</si>
  <si>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</si>
  <si>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</si>
  <si>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</si>
  <si>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</si>
  <si>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</si>
  <si>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</si>
  <si>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</si>
  <si>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</si>
  <si>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</si>
  <si>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</si>
  <si>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</si>
  <si>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</si>
  <si>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</si>
  <si>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</si>
  <si>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</si>
  <si>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</si>
  <si>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</si>
  <si>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</si>
  <si>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</si>
  <si>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</si>
  <si>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</si>
  <si>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</si>
  <si>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</si>
  <si>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</si>
  <si>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</si>
  <si>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</si>
  <si>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</si>
  <si>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</si>
  <si>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</si>
  <si>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</si>
  <si>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</si>
  <si>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</si>
  <si>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</si>
  <si>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</si>
  <si>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</si>
  <si>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</si>
  <si>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</si>
  <si>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</si>
  <si>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</si>
  <si>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</si>
  <si>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</si>
  <si>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</si>
  <si>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</si>
  <si>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</si>
  <si>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</si>
  <si>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</si>
  <si>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</si>
  <si>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</si>
  <si>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</si>
  <si>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</si>
  <si>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</si>
  <si>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</si>
  <si>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</si>
  <si>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</si>
  <si>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</si>
  <si>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</si>
  <si>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</si>
  <si>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</si>
  <si>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</si>
  <si>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</si>
  <si>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</si>
  <si>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</si>
  <si>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</si>
  <si>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</si>
  <si>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</si>
  <si>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</si>
  <si>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</si>
  <si>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</si>
  <si>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</si>
  <si>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</si>
  <si>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</si>
  <si>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</si>
  <si>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</si>
  <si>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</si>
  <si>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</si>
  <si>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</si>
  <si>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</si>
  <si>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</si>
  <si>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</si>
  <si>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</si>
  <si>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</si>
  <si>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</si>
  <si>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</si>
  <si>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</si>
  <si>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</si>
  <si>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</si>
  <si>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</si>
  <si>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</si>
  <si>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</si>
  <si>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</si>
  <si>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</si>
  <si>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</si>
  <si>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</si>
  <si>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</si>
  <si>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</si>
  <si>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</si>
  <si>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</si>
  <si>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</si>
  <si>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</si>
  <si>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</si>
  <si>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</si>
  <si>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</si>
  <si>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</si>
  <si>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</si>
  <si>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</si>
  <si>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</si>
  <si>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</si>
  <si>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</si>
  <si>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</si>
  <si>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</si>
  <si>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</si>
  <si>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</si>
  <si>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</si>
  <si>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</si>
  <si>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</si>
  <si>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</si>
  <si>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</si>
  <si>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</si>
  <si>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</si>
  <si>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</si>
  <si>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</si>
  <si>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</si>
  <si>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</si>
  <si>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</si>
  <si>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</si>
  <si>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</si>
  <si>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</si>
  <si>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</si>
  <si>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</si>
  <si>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</si>
  <si>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</si>
  <si>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</si>
  <si>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</si>
  <si>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</si>
  <si>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</si>
  <si>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</si>
  <si>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</si>
  <si>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</si>
  <si>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</si>
  <si>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</si>
  <si>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</si>
  <si>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</si>
  <si>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</si>
  <si>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</si>
  <si>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</si>
  <si>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</si>
  <si>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</si>
  <si>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</si>
  <si>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</si>
  <si>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</si>
  <si>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</si>
  <si>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</si>
  <si>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</si>
  <si>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</si>
  <si>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</si>
  <si>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</si>
  <si>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</si>
  <si>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</si>
  <si>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</si>
  <si>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</si>
  <si>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</si>
  <si>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</si>
  <si>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</si>
  <si>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</si>
  <si>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</si>
  <si>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</si>
  <si>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</si>
  <si>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</si>
  <si>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</si>
  <si>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</si>
  <si>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</si>
  <si>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</si>
  <si>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</si>
  <si>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</si>
  <si>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</si>
  <si>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</si>
  <si>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</si>
  <si>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</si>
  <si>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</si>
  <si>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</si>
  <si>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</si>
  <si>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</si>
  <si>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</si>
  <si>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</si>
  <si>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</si>
  <si>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</si>
  <si>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</si>
  <si>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</si>
  <si>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</si>
  <si>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</si>
  <si>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</si>
  <si>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</si>
  <si>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</si>
  <si>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</si>
  <si>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</si>
  <si>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</si>
  <si>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</si>
  <si>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</si>
  <si>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</si>
  <si>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</si>
  <si>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</si>
  <si>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</si>
  <si>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</si>
  <si>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</si>
  <si>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</si>
  <si>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</si>
  <si>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</si>
  <si>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</si>
  <si>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</si>
  <si>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</si>
  <si>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</si>
  <si>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</si>
  <si>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</si>
  <si>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</si>
  <si>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</si>
  <si>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</si>
  <si>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</si>
  <si>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</si>
  <si>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</si>
  <si>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</si>
  <si>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</si>
  <si>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</si>
  <si>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</si>
  <si>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</si>
  <si>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</si>
  <si>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</si>
  <si>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</si>
  <si>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</si>
  <si>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</si>
  <si>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</si>
  <si>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</si>
  <si>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</si>
  <si>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</si>
  <si>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</si>
  <si>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</si>
  <si>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</si>
  <si>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</si>
  <si>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</si>
  <si>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</si>
  <si>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</si>
  <si>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</si>
  <si>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</si>
  <si>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</si>
  <si>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</si>
  <si>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</si>
  <si>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</si>
  <si>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</si>
  <si>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</si>
  <si>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</si>
  <si>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</si>
  <si>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</si>
  <si>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</si>
  <si>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</si>
  <si>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</si>
  <si>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</si>
  <si>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</si>
  <si>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</si>
  <si>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</si>
  <si>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</si>
  <si>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</si>
  <si>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</si>
  <si>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</si>
  <si>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</si>
  <si>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</si>
  <si>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</si>
  <si>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</si>
  <si>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</si>
  <si>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</si>
  <si>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</si>
  <si>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</si>
  <si>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</si>
  <si>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</si>
  <si>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</si>
  <si>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</si>
  <si>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</si>
  <si>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</si>
  <si>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</si>
  <si>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</si>
  <si>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</si>
  <si>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</si>
  <si>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</si>
  <si>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</si>
  <si>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</si>
  <si>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</si>
  <si>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</si>
  <si>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</si>
  <si>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</si>
  <si>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</si>
  <si>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</si>
  <si>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</si>
  <si>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</si>
  <si>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</si>
  <si>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</si>
  <si>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</si>
  <si>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</si>
  <si>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</si>
  <si>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</si>
  <si>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</si>
  <si>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</si>
  <si>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</si>
  <si>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</si>
  <si>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</si>
  <si>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</si>
  <si>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</si>
  <si>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</si>
  <si>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</si>
  <si>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</si>
  <si>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</si>
  <si>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</si>
  <si>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</si>
  <si>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</si>
  <si>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</si>
  <si>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</si>
  <si>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</si>
  <si>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</si>
  <si>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</si>
  <si>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</si>
  <si>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</si>
  <si>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</si>
  <si>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</si>
  <si>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</si>
  <si>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</si>
  <si>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</si>
  <si>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</si>
  <si>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</si>
  <si>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</si>
  <si>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</si>
  <si>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</si>
  <si>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</si>
  <si>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</si>
  <si>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</si>
  <si>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</si>
  <si>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</si>
  <si>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</si>
  <si>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</si>
  <si>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</si>
  <si>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</si>
  <si>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</si>
  <si>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</si>
  <si>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</si>
  <si>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</si>
  <si>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</si>
  <si>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</si>
  <si>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</si>
  <si>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</si>
  <si>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</si>
  <si>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</si>
  <si>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</si>
  <si>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</si>
  <si>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</si>
  <si>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</si>
  <si>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</si>
  <si>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</si>
  <si>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</si>
  <si>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</si>
  <si>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</si>
  <si>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</si>
  <si>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</si>
  <si>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</si>
  <si>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</si>
  <si>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</si>
  <si>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</si>
  <si>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</si>
  <si>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</si>
  <si>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</si>
  <si>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</si>
  <si>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</si>
  <si>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</si>
  <si>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</si>
  <si>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</si>
  <si>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</si>
  <si>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</si>
  <si>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</si>
  <si>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</si>
  <si>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</si>
  <si>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</si>
  <si>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</si>
  <si>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</si>
  <si>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</si>
  <si>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</si>
  <si>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</si>
  <si>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</si>
  <si>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</si>
  <si>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</si>
  <si>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</si>
  <si>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</si>
  <si>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</si>
  <si>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</si>
  <si>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</si>
  <si>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</si>
  <si>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</si>
  <si>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</si>
  <si>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</si>
  <si>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</si>
  <si>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</si>
  <si>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</si>
  <si>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</si>
  <si>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</si>
  <si>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</si>
  <si>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</si>
  <si>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</si>
  <si>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</si>
  <si>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</si>
  <si>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</si>
  <si>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</si>
  <si>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</si>
  <si>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</si>
  <si>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</si>
  <si>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</si>
  <si>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</si>
  <si>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</si>
  <si>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</si>
  <si>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</si>
  <si>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</si>
  <si>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</si>
  <si>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</si>
  <si>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</si>
  <si>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</si>
  <si>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</si>
  <si>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</si>
  <si>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</si>
  <si>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</si>
  <si>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</si>
  <si>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</si>
  <si>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</si>
  <si>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</si>
  <si>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</si>
  <si>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</si>
  <si>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</si>
  <si>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</si>
  <si>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</si>
  <si>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</si>
  <si>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</si>
  <si>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</si>
  <si>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</si>
  <si>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</si>
  <si>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</si>
  <si>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</si>
  <si>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</si>
  <si>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</si>
  <si>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</si>
  <si>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</si>
  <si>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</si>
  <si>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</si>
  <si>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</si>
  <si>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</si>
  <si>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</si>
  <si>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</si>
  <si>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</si>
  <si>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</si>
  <si>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</si>
  <si>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</si>
  <si>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</si>
  <si>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</si>
  <si>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</si>
  <si>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</si>
  <si>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</si>
  <si>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</si>
  <si>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</si>
  <si>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</si>
  <si>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</si>
  <si>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</si>
  <si>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</si>
  <si>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</si>
  <si>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</si>
  <si>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</si>
  <si>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</si>
  <si>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</si>
  <si>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</si>
  <si>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</si>
  <si>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</si>
  <si>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</si>
  <si>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</si>
  <si>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</si>
  <si>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</si>
  <si>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</si>
  <si>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</si>
  <si>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</si>
  <si>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</si>
  <si>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</si>
  <si>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</si>
  <si>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</si>
  <si>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</si>
  <si>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</si>
  <si>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</si>
  <si>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</si>
  <si>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</si>
  <si>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</si>
  <si>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</si>
  <si>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</si>
  <si>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</si>
  <si>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</si>
  <si>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</si>
  <si>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</si>
  <si>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</si>
  <si>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</si>
  <si>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</si>
  <si>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</si>
  <si>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</si>
  <si>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</si>
  <si>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</si>
  <si>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</si>
  <si>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</si>
  <si>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</si>
  <si>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</si>
  <si>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</si>
  <si>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</si>
  <si>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</si>
  <si>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</si>
  <si>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</si>
  <si>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</si>
  <si>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</si>
  <si>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</si>
  <si>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</si>
  <si>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</si>
  <si>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</si>
  <si>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</si>
  <si>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</si>
  <si>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</si>
  <si>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</si>
  <si>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</si>
  <si>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</si>
  <si>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</si>
  <si>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</si>
  <si>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</si>
  <si>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</si>
  <si>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</si>
  <si>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</si>
  <si>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</si>
  <si>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</si>
  <si>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</si>
  <si>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</si>
  <si>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</si>
  <si>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</si>
  <si>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</si>
  <si>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</si>
  <si>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</si>
  <si>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</si>
  <si>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</si>
  <si>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</si>
  <si>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</si>
  <si>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</si>
  <si>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</si>
  <si>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</si>
  <si>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</si>
  <si>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</si>
  <si>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</si>
  <si>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</si>
  <si>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</si>
  <si>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</si>
  <si>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</si>
  <si>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</si>
  <si>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</si>
  <si>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</si>
  <si>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</si>
  <si>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</si>
  <si>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</si>
  <si>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</si>
  <si>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</si>
  <si>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</si>
  <si>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</si>
  <si>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</si>
  <si>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</si>
  <si>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</si>
  <si>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</si>
  <si>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</si>
  <si>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</si>
  <si>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</si>
  <si>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</si>
  <si>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</si>
  <si>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</si>
  <si>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</si>
  <si>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</si>
  <si>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</si>
  <si>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</si>
  <si>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</si>
  <si>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</si>
  <si>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</si>
  <si>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</si>
  <si>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</si>
  <si>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</si>
  <si>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</si>
  <si>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</si>
  <si>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</si>
  <si>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</si>
  <si>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</si>
  <si>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</si>
  <si>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</si>
  <si>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</si>
  <si>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</si>
  <si>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</si>
  <si>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</si>
  <si>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</si>
  <si>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</si>
  <si>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</si>
  <si>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</si>
  <si>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</si>
  <si>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</si>
  <si>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</si>
  <si>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</si>
  <si>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</si>
  <si>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</si>
  <si>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</si>
  <si>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</si>
  <si>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</si>
  <si>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</si>
  <si>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</si>
  <si>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</si>
  <si>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</si>
  <si>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</si>
  <si>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</si>
  <si>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</si>
  <si>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</si>
  <si>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</si>
  <si>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</si>
  <si>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</si>
  <si>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</si>
  <si>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</si>
  <si>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</si>
  <si>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</si>
  <si>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</si>
  <si>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</si>
  <si>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</si>
  <si>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</si>
  <si>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</si>
  <si>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</si>
  <si>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</si>
  <si>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</si>
  <si>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</si>
  <si>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</si>
  <si>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</si>
  <si>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</si>
  <si>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</si>
  <si>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</si>
  <si>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</si>
  <si>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</si>
  <si>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</si>
  <si>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</si>
  <si>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</si>
  <si>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</si>
  <si>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</si>
  <si>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</si>
  <si>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</si>
  <si>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</si>
  <si>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</si>
  <si>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</si>
  <si>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</si>
  <si>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</si>
  <si>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</si>
  <si>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</si>
  <si>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</si>
  <si>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</si>
  <si>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</si>
  <si>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</si>
  <si>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</si>
  <si>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</si>
  <si>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</si>
  <si>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</si>
  <si>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</si>
  <si>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</si>
  <si>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</si>
  <si>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</si>
  <si>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</si>
  <si>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</si>
  <si>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</si>
  <si>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</si>
  <si>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</si>
  <si>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</si>
  <si>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</si>
  <si>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</si>
  <si>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</si>
  <si>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</si>
  <si>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</si>
  <si>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</si>
  <si>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</si>
  <si>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</si>
  <si>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</si>
  <si>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</si>
  <si>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</si>
  <si>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</si>
  <si>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</si>
  <si>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</si>
  <si>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</si>
  <si>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</si>
  <si>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</si>
  <si>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</si>
  <si>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</si>
  <si>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</si>
  <si>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</si>
  <si>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</si>
  <si>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</si>
  <si>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</si>
  <si>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</si>
  <si>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</si>
  <si>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</si>
  <si>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</si>
  <si>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</si>
  <si>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</si>
  <si>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</si>
  <si>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</si>
  <si>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</si>
  <si>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</si>
  <si>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</si>
  <si>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</si>
  <si>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</si>
  <si>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</si>
  <si>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</si>
  <si>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</si>
  <si>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</si>
  <si>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</si>
  <si>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</si>
  <si>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</si>
  <si>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</si>
  <si>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</si>
  <si>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</si>
  <si>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</si>
  <si>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</si>
  <si>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</si>
  <si>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</si>
  <si>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</si>
  <si>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</si>
  <si>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</si>
  <si>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</si>
  <si>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</si>
  <si>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</si>
  <si>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</si>
  <si>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</si>
  <si>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</si>
  <si>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</si>
  <si>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</si>
  <si>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</si>
  <si>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</si>
  <si>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</si>
  <si>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</si>
  <si>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</si>
  <si>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</si>
  <si>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</si>
  <si>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</si>
  <si>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</si>
  <si>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</si>
  <si>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</si>
  <si>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</si>
  <si>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</si>
  <si>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</si>
  <si>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</si>
  <si>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</si>
  <si>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</si>
  <si>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</si>
  <si>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</si>
  <si>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</si>
  <si>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</si>
  <si>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</si>
  <si>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</si>
  <si>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</si>
  <si>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</si>
  <si>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</si>
  <si>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</si>
  <si>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</si>
  <si>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</si>
  <si>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</si>
  <si>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</si>
  <si>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</si>
  <si>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</si>
  <si>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</si>
  <si>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</si>
  <si>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</si>
  <si>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</si>
  <si>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</si>
  <si>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</si>
  <si>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</si>
  <si>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</si>
  <si>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</si>
  <si>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</si>
  <si>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</si>
  <si>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</si>
  <si>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</si>
  <si>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</si>
  <si>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</si>
  <si>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</si>
  <si>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</si>
  <si>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</si>
  <si>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</si>
  <si>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</si>
  <si>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</si>
  <si>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</si>
  <si>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</si>
  <si>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</si>
  <si>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</si>
  <si>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</si>
  <si>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</si>
  <si>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</si>
  <si>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</si>
  <si>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</si>
  <si>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</si>
  <si>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</si>
  <si>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</si>
  <si>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</si>
  <si>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</si>
  <si>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</si>
  <si>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</si>
  <si>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</si>
  <si>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</si>
  <si>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</si>
  <si>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</si>
  <si>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</si>
  <si>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</si>
  <si>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</si>
  <si>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</si>
  <si>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</si>
  <si>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</si>
  <si>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</si>
  <si>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</si>
  <si>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</si>
  <si>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</si>
  <si>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</si>
  <si>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</si>
  <si>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</si>
  <si>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</si>
  <si>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</si>
  <si>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</si>
  <si>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</si>
  <si>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</si>
  <si>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</si>
  <si>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</si>
  <si>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</si>
  <si>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</si>
  <si>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</si>
  <si>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</si>
  <si>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</si>
  <si>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</si>
  <si>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</si>
  <si>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</si>
  <si>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</si>
  <si>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</si>
  <si>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</si>
  <si>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</si>
  <si>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</si>
  <si>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</si>
  <si>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</si>
  <si>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</si>
  <si>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</si>
  <si>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</si>
  <si>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</si>
  <si>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</si>
  <si>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</si>
  <si>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</si>
  <si>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</si>
  <si>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</si>
  <si>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</si>
  <si>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</si>
  <si>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</si>
  <si>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</si>
  <si>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</si>
  <si>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</si>
  <si>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</si>
  <si>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</si>
  <si>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</si>
  <si>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</si>
  <si>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</si>
  <si>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</si>
  <si>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</si>
  <si>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</si>
  <si>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</si>
  <si>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</si>
  <si>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</si>
  <si>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</si>
  <si>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</si>
  <si>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</si>
  <si>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</si>
  <si>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</si>
  <si>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</si>
  <si>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</si>
  <si>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</si>
  <si>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</si>
  <si>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</si>
  <si>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</si>
  <si>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</si>
  <si>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</si>
  <si>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</si>
  <si>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</si>
  <si>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</si>
  <si>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</si>
  <si>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</si>
  <si>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</si>
  <si>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</si>
  <si>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</si>
  <si>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</si>
  <si>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</si>
  <si>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</si>
  <si>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</si>
  <si>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</si>
  <si>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</si>
  <si>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</si>
  <si>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</si>
  <si>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</si>
  <si>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</si>
  <si>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</si>
  <si>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</si>
  <si>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</si>
  <si>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</si>
  <si>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</si>
  <si>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</si>
  <si>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</si>
  <si>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</si>
  <si>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</si>
  <si>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</si>
  <si>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</si>
  <si>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</si>
  <si>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</si>
  <si>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</si>
  <si>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</si>
  <si>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</si>
  <si>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</si>
  <si>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</si>
  <si>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</si>
  <si>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</si>
  <si>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</si>
  <si>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</si>
  <si>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</si>
  <si>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</si>
  <si>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</si>
  <si>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</si>
  <si>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</si>
  <si>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</si>
  <si>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</si>
  <si>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</si>
  <si>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</si>
  <si>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</si>
  <si>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</si>
  <si>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</si>
  <si>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</si>
  <si>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</si>
  <si>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</si>
  <si>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</si>
  <si>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</si>
  <si>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</si>
  <si>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</si>
  <si>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</si>
  <si>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</si>
  <si>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</si>
  <si>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</si>
  <si>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</si>
  <si>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</si>
  <si>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</si>
  <si>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</si>
  <si>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</si>
  <si>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</si>
  <si>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</si>
  <si>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</si>
  <si>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</si>
  <si>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</si>
  <si>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</si>
  <si>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</si>
  <si>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</si>
  <si>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</si>
  <si>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</si>
  <si>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</si>
  <si>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</si>
  <si>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</si>
  <si>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</si>
  <si>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</si>
  <si>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</si>
  <si>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</si>
  <si>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</si>
  <si>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</si>
  <si>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</si>
  <si>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</si>
  <si>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</si>
  <si>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</si>
  <si>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</si>
  <si>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</si>
  <si>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</si>
  <si>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</si>
  <si>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</si>
  <si>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</si>
  <si>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</si>
  <si>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</si>
  <si>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</si>
  <si>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</si>
  <si>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</si>
  <si>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</si>
  <si>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</si>
  <si>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</si>
  <si>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</si>
  <si>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</si>
  <si>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</si>
  <si>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</si>
  <si>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</si>
  <si>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</si>
  <si>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</si>
  <si>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</si>
  <si>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</si>
  <si>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</si>
  <si>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</si>
  <si>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</si>
  <si>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</si>
  <si>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</si>
  <si>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</si>
  <si>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</si>
  <si>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</si>
  <si>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</si>
  <si>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</si>
  <si>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</si>
  <si>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</si>
  <si>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</si>
  <si>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</si>
  <si>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</si>
  <si>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</si>
  <si>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</si>
  <si>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</si>
  <si>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</si>
  <si>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</si>
  <si>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</si>
  <si>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</si>
  <si>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</si>
  <si>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</si>
  <si>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</si>
  <si>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</si>
  <si>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</si>
  <si>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</si>
  <si>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</si>
  <si>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</si>
  <si>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</si>
  <si>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</si>
  <si>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</si>
  <si>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</si>
  <si>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</si>
  <si>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</si>
  <si>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</si>
  <si>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</si>
  <si>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</si>
  <si>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</si>
  <si>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</si>
  <si>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</si>
  <si>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</si>
  <si>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</si>
  <si>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</si>
  <si>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</si>
  <si>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</si>
  <si>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</si>
  <si>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</si>
  <si>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</si>
  <si>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</si>
  <si>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</si>
  <si>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</si>
  <si>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</si>
  <si>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</si>
  <si>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</si>
  <si>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</si>
  <si>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</si>
  <si>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</si>
  <si>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</si>
  <si>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</si>
  <si>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</si>
  <si>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</si>
  <si>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</si>
  <si>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</si>
  <si>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</si>
  <si>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</si>
  <si>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</si>
  <si>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</si>
  <si>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</si>
  <si>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</si>
  <si>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</si>
  <si>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</si>
  <si>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</si>
  <si>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</si>
  <si>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</si>
  <si>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</si>
  <si>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</si>
  <si>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</si>
  <si>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</si>
  <si>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</si>
  <si>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</si>
  <si>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</si>
  <si>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</si>
  <si>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</si>
  <si>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</si>
  <si>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</si>
  <si>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</si>
  <si>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</si>
  <si>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</si>
  <si>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</si>
  <si>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</si>
  <si>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</si>
  <si>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</si>
  <si>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</si>
  <si>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</si>
  <si>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</si>
  <si>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</si>
  <si>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</si>
  <si>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</si>
  <si>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</si>
  <si>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</si>
  <si>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</si>
  <si>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</si>
  <si>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</si>
  <si>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</si>
  <si>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</si>
  <si>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</si>
  <si>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</si>
  <si>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</si>
  <si>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</si>
  <si>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</si>
  <si>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</si>
  <si>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</si>
  <si>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</si>
  <si>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</si>
  <si>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</si>
  <si>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</si>
  <si>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</si>
  <si>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</si>
  <si>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</si>
  <si>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</si>
  <si>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</si>
  <si>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</si>
  <si>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</si>
  <si>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</si>
  <si>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</si>
  <si>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</si>
  <si>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</si>
  <si>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</si>
  <si>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</si>
  <si>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</si>
  <si>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</si>
  <si>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</si>
  <si>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</si>
  <si>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</si>
  <si>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</si>
  <si>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</si>
  <si>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</si>
  <si>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</si>
  <si>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</si>
  <si>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</si>
  <si>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</si>
  <si>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</si>
  <si>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</si>
  <si>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</si>
  <si>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</si>
  <si>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</si>
  <si>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</si>
  <si>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</si>
  <si>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</si>
  <si>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</si>
  <si>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</si>
  <si>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</si>
  <si>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</si>
  <si>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</si>
  <si>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</si>
  <si>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</si>
  <si>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</si>
  <si>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</si>
  <si>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</si>
  <si>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</si>
  <si>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</si>
  <si>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</si>
  <si>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</si>
  <si>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</si>
  <si>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</si>
  <si>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</si>
  <si>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</si>
  <si>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</si>
  <si>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</si>
  <si>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</si>
  <si>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</si>
  <si>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</si>
  <si>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</si>
  <si>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</si>
  <si>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</si>
  <si>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</si>
  <si>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</si>
  <si>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</si>
  <si>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</si>
  <si>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</si>
  <si>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</si>
  <si>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</si>
  <si>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</si>
  <si>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</si>
  <si>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</si>
  <si>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</si>
  <si>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</si>
  <si>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</si>
  <si>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</si>
  <si>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</si>
  <si>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</si>
  <si>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</si>
  <si>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</si>
  <si>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</si>
  <si>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</si>
  <si>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</si>
  <si>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</si>
  <si>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</si>
  <si>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</si>
  <si>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</si>
  <si>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</si>
  <si>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</si>
  <si>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</si>
  <si>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</si>
  <si>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</si>
  <si>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</si>
  <si>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</si>
  <si>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</si>
  <si>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</si>
  <si>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</si>
  <si>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</si>
  <si>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</si>
  <si>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</si>
  <si>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</si>
  <si>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</si>
  <si>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</si>
  <si>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</si>
  <si>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</si>
  <si>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</si>
  <si>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</si>
  <si>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</si>
  <si>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</si>
  <si>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</si>
  <si>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</si>
  <si>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</si>
  <si>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</si>
  <si>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</si>
  <si>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</si>
  <si>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</si>
  <si>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</si>
  <si>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</si>
  <si>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</si>
  <si>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</si>
  <si>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</si>
  <si>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</si>
  <si>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</si>
  <si>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</si>
  <si>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</si>
  <si>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</si>
  <si>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</si>
  <si>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</si>
  <si>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</si>
  <si>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</si>
  <si>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</si>
  <si>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</si>
  <si>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</si>
  <si>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</si>
  <si>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</si>
  <si>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</si>
  <si>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</si>
  <si>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</si>
  <si>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</si>
  <si>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</si>
  <si>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</si>
  <si>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</si>
  <si>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</si>
  <si>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</si>
  <si>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</si>
  <si>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</si>
  <si>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</si>
  <si>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</si>
  <si>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</si>
  <si>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</si>
  <si>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</si>
  <si>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</si>
  <si>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</si>
  <si>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</si>
  <si>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</si>
  <si>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</si>
  <si>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</si>
  <si>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</si>
  <si>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</si>
  <si>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</si>
  <si>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</si>
  <si>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</si>
  <si>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</si>
  <si>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</si>
  <si>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</si>
  <si>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</si>
  <si>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</si>
  <si>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</si>
  <si>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</si>
  <si>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</si>
  <si>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</si>
  <si>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</si>
  <si>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</si>
  <si>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</si>
  <si>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</si>
  <si>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</si>
  <si>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</si>
  <si>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</si>
  <si>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</si>
  <si>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</si>
  <si>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</si>
  <si>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</si>
  <si>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</si>
  <si>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</si>
  <si>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</si>
  <si>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</si>
  <si>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</si>
  <si>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</si>
  <si>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</si>
  <si>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</si>
  <si>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</si>
  <si>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</si>
  <si>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</si>
  <si>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</si>
  <si>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</si>
  <si>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</si>
  <si>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</si>
  <si>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</si>
  <si>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</si>
  <si>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</si>
  <si>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</si>
  <si>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</si>
  <si>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</si>
  <si>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</si>
  <si>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</si>
  <si>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</si>
  <si>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</si>
  <si>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</si>
  <si>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</si>
  <si>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</si>
  <si>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</si>
  <si>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</si>
  <si>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</si>
  <si>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</si>
  <si>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</si>
  <si>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</si>
  <si>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</si>
  <si>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</si>
  <si>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</si>
  <si>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</si>
  <si>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</si>
  <si>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</si>
  <si>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</si>
  <si>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</si>
  <si>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</si>
  <si>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</si>
  <si>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</si>
  <si>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</si>
  <si>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</si>
  <si>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</si>
  <si>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</si>
  <si>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</si>
  <si>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</si>
  <si>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</si>
  <si>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</si>
  <si>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</si>
  <si>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</si>
  <si>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</si>
  <si>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</si>
  <si>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</si>
  <si>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</si>
  <si>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</si>
  <si>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</si>
  <si>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</si>
  <si>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</si>
  <si>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</si>
  <si>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</si>
  <si>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</si>
  <si>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</si>
  <si>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</si>
  <si>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</si>
  <si>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</si>
  <si>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</si>
  <si>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</si>
  <si>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</si>
  <si>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</si>
  <si>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</si>
  <si>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</si>
  <si>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</si>
  <si>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</si>
  <si>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</si>
  <si>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</si>
  <si>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</si>
  <si>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</si>
  <si>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</si>
  <si>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</si>
  <si>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</si>
  <si>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</si>
  <si>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</si>
  <si>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</si>
  <si>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</si>
  <si>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</si>
  <si>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</si>
  <si>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</si>
  <si>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</si>
  <si>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</si>
  <si>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</si>
  <si>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</si>
  <si>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</si>
  <si>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</si>
  <si>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</si>
  <si>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</si>
  <si>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</si>
  <si>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</si>
  <si>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</si>
  <si>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</si>
  <si>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</si>
  <si>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</si>
  <si>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</si>
  <si>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</si>
  <si>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</si>
  <si>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</si>
  <si>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</si>
  <si>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</si>
  <si>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</si>
  <si>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</si>
  <si>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</si>
  <si>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</si>
  <si>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</si>
  <si>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</si>
  <si>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</si>
  <si>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</si>
  <si>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</si>
  <si>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</si>
  <si>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</si>
  <si>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</si>
  <si>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</si>
  <si>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</si>
  <si>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</si>
  <si>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</si>
  <si>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</si>
  <si>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</si>
  <si>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</si>
  <si>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</si>
  <si>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</si>
  <si>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</si>
  <si>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</si>
  <si>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</si>
  <si>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</si>
  <si>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</si>
  <si>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</si>
  <si>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</si>
  <si>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</si>
  <si>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</si>
  <si>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</si>
  <si>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</si>
  <si>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</si>
  <si>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</si>
  <si>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</si>
  <si>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</si>
  <si>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</si>
  <si>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</si>
  <si>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</si>
  <si>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</si>
  <si>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</si>
  <si>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</si>
  <si>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</si>
  <si>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</si>
  <si>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</si>
  <si>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</si>
  <si>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</si>
  <si>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</si>
  <si>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</si>
  <si>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</si>
  <si>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</si>
  <si>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</si>
  <si>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</si>
  <si>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</si>
  <si>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</si>
  <si>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</si>
  <si>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</si>
  <si>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</si>
  <si>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</si>
  <si>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</si>
  <si>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</si>
  <si>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</si>
  <si>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</si>
  <si>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</si>
  <si>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</si>
  <si>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</si>
  <si>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</si>
  <si>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</si>
  <si>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</si>
  <si>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</si>
  <si>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</si>
  <si>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</si>
  <si>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</si>
  <si>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</si>
  <si>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</si>
  <si>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</si>
  <si>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</si>
  <si>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</si>
  <si>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</si>
  <si>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</si>
  <si>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</si>
  <si>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</si>
  <si>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</si>
  <si>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</si>
  <si>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</si>
  <si>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</si>
  <si>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</si>
  <si>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</si>
  <si>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</si>
  <si>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</si>
  <si>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</si>
  <si>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</si>
  <si>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</si>
  <si>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</si>
  <si>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</si>
  <si>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</si>
  <si>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</si>
  <si>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</si>
  <si>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</si>
  <si>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</si>
  <si>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</si>
  <si>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</si>
  <si>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</si>
  <si>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</si>
  <si>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</si>
  <si>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</si>
  <si>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</si>
  <si>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</si>
  <si>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</si>
  <si>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</si>
  <si>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</si>
  <si>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</si>
  <si>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</si>
  <si>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</si>
  <si>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</si>
  <si>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</si>
  <si>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</si>
  <si>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</si>
  <si>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</si>
  <si>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</si>
  <si>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</si>
  <si>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</si>
  <si>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</si>
  <si>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</si>
  <si>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</si>
  <si>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</si>
  <si>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</si>
  <si>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</si>
  <si>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</si>
  <si>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</si>
  <si>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</si>
  <si>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</si>
  <si>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</si>
  <si>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</si>
  <si>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</si>
  <si>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</si>
  <si>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</si>
  <si>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</si>
  <si>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</si>
  <si>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</si>
  <si>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</si>
  <si>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</si>
  <si>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</si>
  <si>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</si>
  <si>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</si>
  <si>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</si>
  <si>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</si>
  <si>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</si>
  <si>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</si>
  <si>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</si>
  <si>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</si>
  <si>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</si>
  <si>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</si>
  <si>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</si>
  <si>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</si>
  <si>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</si>
  <si>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</si>
  <si>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</si>
  <si>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</si>
  <si>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</si>
  <si>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</si>
  <si>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</si>
  <si>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</si>
  <si>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</si>
  <si>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</si>
  <si>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</si>
  <si>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</si>
  <si>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</si>
  <si>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</si>
  <si>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</si>
  <si>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</si>
  <si>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</si>
  <si>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</si>
  <si>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</si>
  <si>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</si>
  <si>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</si>
  <si>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</si>
  <si>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</si>
  <si>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</si>
  <si>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</si>
  <si>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</si>
  <si>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</si>
  <si>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</si>
  <si>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</si>
  <si>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</si>
  <si>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</si>
  <si>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</si>
  <si>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</si>
  <si>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</si>
  <si>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</si>
  <si>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</si>
  <si>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</si>
  <si>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</si>
  <si>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</si>
  <si>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</si>
  <si>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</si>
  <si>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</si>
  <si>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</si>
  <si>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</si>
  <si>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</si>
  <si>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</si>
  <si>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</si>
  <si>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</si>
  <si>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</si>
  <si>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</si>
  <si>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</si>
  <si>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</si>
  <si>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</si>
  <si>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</si>
  <si>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</si>
  <si>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</si>
  <si>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</si>
  <si>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</si>
  <si>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</si>
  <si>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</si>
  <si>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</si>
  <si>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</si>
  <si>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</si>
  <si>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</si>
  <si>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</si>
  <si>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</si>
  <si>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</si>
  <si>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</si>
  <si>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</si>
  <si>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</si>
  <si>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</si>
  <si>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</si>
  <si>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</si>
  <si>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</si>
  <si>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</si>
  <si>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</si>
  <si>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</si>
  <si>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</si>
  <si>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</si>
  <si>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</si>
  <si>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</si>
  <si>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</si>
  <si>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</si>
  <si>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</si>
  <si>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</si>
  <si>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</si>
  <si>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</si>
  <si>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</si>
  <si>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</si>
  <si>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</si>
  <si>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</si>
  <si>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</si>
  <si>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</si>
  <si>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</si>
  <si>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</si>
  <si>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</si>
  <si>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</si>
  <si>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</si>
  <si>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</si>
  <si>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</si>
  <si>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</si>
  <si>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</si>
  <si>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</si>
  <si>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</si>
  <si>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</si>
  <si>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</si>
  <si>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</si>
  <si>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</si>
  <si>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</si>
  <si>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</si>
  <si>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</si>
  <si>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</si>
  <si>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</si>
  <si>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</si>
  <si>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</si>
  <si>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</si>
  <si>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</si>
  <si>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</si>
  <si>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</si>
  <si>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</si>
  <si>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</si>
  <si>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</si>
  <si>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</si>
  <si>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</si>
  <si>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</si>
  <si>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</si>
  <si>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</si>
  <si>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</si>
  <si>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</si>
  <si>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</si>
  <si>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</si>
  <si>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</si>
  <si>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</si>
  <si>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</si>
  <si>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</si>
  <si>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</si>
  <si>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</si>
  <si>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</si>
  <si>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</si>
  <si>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</si>
  <si>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</si>
  <si>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</si>
  <si>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</si>
  <si>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</si>
  <si>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</si>
  <si>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</si>
  <si>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</si>
  <si>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</si>
  <si>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</si>
  <si>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</si>
  <si>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</si>
  <si>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</si>
  <si>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</si>
  <si>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</si>
  <si>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</si>
  <si>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</si>
  <si>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</si>
  <si>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</si>
  <si>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</si>
  <si>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</si>
  <si>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</si>
  <si>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</si>
  <si>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</si>
  <si>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</si>
  <si>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</si>
  <si>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</si>
  <si>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</si>
  <si>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</si>
  <si>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</si>
  <si>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</si>
  <si>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</si>
  <si>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</si>
  <si>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</si>
  <si>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</si>
  <si>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</si>
  <si>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</si>
  <si>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</si>
  <si>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</si>
  <si>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</si>
  <si>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</si>
  <si>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</si>
  <si>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</si>
  <si>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</si>
  <si>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</si>
  <si>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</si>
  <si>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</si>
  <si>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</si>
  <si>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</si>
  <si>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</si>
  <si>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</si>
  <si>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</si>
  <si>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</si>
  <si>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</si>
  <si>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</si>
  <si>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</si>
  <si>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</si>
  <si>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</si>
  <si>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</si>
  <si>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</si>
  <si>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</si>
  <si>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</si>
  <si>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</si>
  <si>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</si>
  <si>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</si>
  <si>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</si>
  <si>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</si>
  <si>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</si>
  <si>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</si>
  <si>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</si>
  <si>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</si>
  <si>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</si>
  <si>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</si>
  <si>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</si>
  <si>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</si>
  <si>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</si>
  <si>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</si>
  <si>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</si>
  <si>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</si>
  <si>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</si>
  <si>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</si>
  <si>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</si>
  <si>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</si>
  <si>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</si>
  <si>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</si>
  <si>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</si>
  <si>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</si>
  <si>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</si>
  <si>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</si>
  <si>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</si>
  <si>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</si>
  <si>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</si>
  <si>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</si>
  <si>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</si>
  <si>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</si>
  <si>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</si>
  <si>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</si>
  <si>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</si>
  <si>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</si>
  <si>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</si>
  <si>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</si>
  <si>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</si>
  <si>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</si>
  <si>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</si>
  <si>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</si>
  <si>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</si>
  <si>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</si>
  <si>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</si>
  <si>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</si>
  <si>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</si>
  <si>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</si>
  <si>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</si>
  <si>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</si>
  <si>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</si>
  <si>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</si>
  <si>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</si>
  <si>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</si>
  <si>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</si>
  <si>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</si>
  <si>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</si>
  <si>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</si>
  <si>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</si>
  <si>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</si>
  <si>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</si>
  <si>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</si>
  <si>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</si>
  <si>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</si>
  <si>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</si>
  <si>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</si>
  <si>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</si>
  <si>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</si>
  <si>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</si>
  <si>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</si>
  <si>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</si>
  <si>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</si>
  <si>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</si>
  <si>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</si>
  <si>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</si>
  <si>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</si>
  <si>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</si>
  <si>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</si>
  <si>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</si>
  <si>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</si>
  <si>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</si>
  <si>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</si>
  <si>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</si>
  <si>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</si>
  <si>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</si>
  <si>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</si>
  <si>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</si>
  <si>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</si>
  <si>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</si>
  <si>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</si>
  <si>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</si>
  <si>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</si>
  <si>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</si>
  <si>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</si>
  <si>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</si>
  <si>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</si>
  <si>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</si>
  <si>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</si>
  <si>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</si>
  <si>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</si>
  <si>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</si>
  <si>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</si>
  <si>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</si>
  <si>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</si>
  <si>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</si>
  <si>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</si>
  <si>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</si>
  <si>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</si>
  <si>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</si>
  <si>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</si>
  <si>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</si>
  <si>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</si>
  <si>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</si>
  <si>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</si>
  <si>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</si>
  <si>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</si>
  <si>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</si>
  <si>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</si>
  <si>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</si>
  <si>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</si>
  <si>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</si>
  <si>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</si>
  <si>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</si>
  <si>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</si>
  <si>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</si>
  <si>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</si>
  <si>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</si>
  <si>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</si>
  <si>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</si>
  <si>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</si>
  <si>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</si>
  <si>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</si>
  <si>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</si>
  <si>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</si>
  <si>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</si>
  <si>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</si>
  <si>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</si>
  <si>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</si>
  <si>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</si>
  <si>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</si>
  <si>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</si>
  <si>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</si>
  <si>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</si>
  <si>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</si>
  <si>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</si>
  <si>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</si>
  <si>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</si>
  <si>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</si>
  <si>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</si>
  <si>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</si>
  <si>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</si>
  <si>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</si>
  <si>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</si>
  <si>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</si>
  <si>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</si>
  <si>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</si>
  <si>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</si>
  <si>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</si>
  <si>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</si>
  <si>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</si>
  <si>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</si>
  <si>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</si>
  <si>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</si>
  <si>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</si>
  <si>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</si>
  <si>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</si>
  <si>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</si>
  <si>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</si>
  <si>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</si>
  <si>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</si>
  <si>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</si>
  <si>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</si>
  <si>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</si>
  <si>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</si>
  <si>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</si>
  <si>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</si>
  <si>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</si>
  <si>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</si>
  <si>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</si>
  <si>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</si>
  <si>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</si>
  <si>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</si>
  <si>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</si>
  <si>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</si>
  <si>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</si>
  <si>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</si>
  <si>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</si>
  <si>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</si>
  <si>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</si>
  <si>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</si>
  <si>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</si>
  <si>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</si>
  <si>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</si>
  <si>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</si>
  <si>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</si>
  <si>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</si>
  <si>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</si>
  <si>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</si>
  <si>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</si>
  <si>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</si>
  <si>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</si>
  <si>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</si>
  <si>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</si>
  <si>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</si>
  <si>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</si>
  <si>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</si>
  <si>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</si>
  <si>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</si>
  <si>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</si>
  <si>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</si>
  <si>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</si>
  <si>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</si>
  <si>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</si>
  <si>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</si>
  <si>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</si>
  <si>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</si>
  <si>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</si>
  <si>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</si>
  <si>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</si>
  <si>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</si>
  <si>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</si>
  <si>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</si>
  <si>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</si>
  <si>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</si>
  <si>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</si>
  <si>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</si>
  <si>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</si>
  <si>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</si>
  <si>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</si>
  <si>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</si>
  <si>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</si>
  <si>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</si>
  <si>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</si>
  <si>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</si>
  <si>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</si>
  <si>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</si>
  <si>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</si>
  <si>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</si>
  <si>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</si>
  <si>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</si>
  <si>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</si>
  <si>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</si>
  <si>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</si>
  <si>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</si>
  <si>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</si>
  <si>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</si>
  <si>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</si>
  <si>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</si>
  <si>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</si>
  <si>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</si>
  <si>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</si>
  <si>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</si>
  <si>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</si>
  <si>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</si>
  <si>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</si>
  <si>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</si>
  <si>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</si>
  <si>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</si>
  <si>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</si>
  <si>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</si>
  <si>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</si>
  <si>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</si>
  <si>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</si>
  <si>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</si>
  <si>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</si>
  <si>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</si>
  <si>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</si>
  <si>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</si>
  <si>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</si>
  <si>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</si>
  <si>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</si>
  <si>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</si>
  <si>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</si>
  <si>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</si>
  <si>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</si>
  <si>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</si>
  <si>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</si>
  <si>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</si>
  <si>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</si>
  <si>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</si>
  <si>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</si>
  <si>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</si>
  <si>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</si>
  <si>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</si>
  <si>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</si>
  <si>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</si>
  <si>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</si>
  <si>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</si>
  <si>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</si>
  <si>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</si>
  <si>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</si>
  <si>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</si>
  <si>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</si>
  <si>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</si>
  <si>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</si>
  <si>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</si>
  <si>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</si>
  <si>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</si>
  <si>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</si>
  <si>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</si>
  <si>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</si>
  <si>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</si>
  <si>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</si>
  <si>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</si>
  <si>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</si>
  <si>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</si>
  <si>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</si>
  <si>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</si>
  <si>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</si>
  <si>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</si>
  <si>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</si>
  <si>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</si>
  <si>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</si>
  <si>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</si>
  <si>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</si>
  <si>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</si>
  <si>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</si>
  <si>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</si>
  <si>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</si>
  <si>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</si>
  <si>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</si>
  <si>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</si>
  <si>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</si>
  <si>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</si>
  <si>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</si>
  <si>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</si>
  <si>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</si>
  <si>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</si>
  <si>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</si>
  <si>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</si>
  <si>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</si>
  <si>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</si>
  <si>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</si>
  <si>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</si>
  <si>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</si>
  <si>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</si>
  <si>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</si>
  <si>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</si>
  <si>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</si>
  <si>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</si>
  <si>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</si>
  <si>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</si>
  <si>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</si>
  <si>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</si>
  <si>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</si>
  <si>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</si>
  <si>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</si>
  <si>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</si>
  <si>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</si>
  <si>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</si>
  <si>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</si>
  <si>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</si>
  <si>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</si>
  <si>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</si>
  <si>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</si>
  <si>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</si>
  <si>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</si>
  <si>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</si>
  <si>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</si>
  <si>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</si>
  <si>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</si>
  <si>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</si>
  <si>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</si>
  <si>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</si>
  <si>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</si>
  <si>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</si>
  <si>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</si>
  <si>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</si>
  <si>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</si>
  <si>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</si>
  <si>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</si>
  <si>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</si>
  <si>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</si>
  <si>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</si>
  <si>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</si>
  <si>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</si>
  <si>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</si>
  <si>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</si>
  <si>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</si>
  <si>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</si>
  <si>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</si>
  <si>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</si>
  <si>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</si>
  <si>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</si>
  <si>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</si>
  <si>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</si>
  <si>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</si>
  <si>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</si>
  <si>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</si>
  <si>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</si>
  <si>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</si>
  <si>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</si>
  <si>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</si>
  <si>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</si>
  <si>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</si>
  <si>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</si>
  <si>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</si>
  <si>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</si>
  <si>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</si>
  <si>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</si>
  <si>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</si>
  <si>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</si>
  <si>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</si>
  <si>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</si>
  <si>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</si>
  <si>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</si>
  <si>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</si>
  <si>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</si>
  <si>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</si>
  <si>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</si>
  <si>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</si>
  <si>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</si>
  <si>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</si>
  <si>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</si>
  <si>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</si>
  <si>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</si>
  <si>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</si>
  <si>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</si>
  <si>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</si>
  <si>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</si>
  <si>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</si>
  <si>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</si>
  <si>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</si>
  <si>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</si>
  <si>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</si>
  <si>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</si>
  <si>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</si>
  <si>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</si>
  <si>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</si>
  <si>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</si>
  <si>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</si>
  <si>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</si>
  <si>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</si>
  <si>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</si>
  <si>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</si>
  <si>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</si>
  <si>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</si>
  <si>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</si>
  <si>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</si>
  <si>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</si>
  <si>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</si>
  <si>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</si>
  <si>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</si>
  <si>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</si>
  <si>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</si>
  <si>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</si>
  <si>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</si>
  <si>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</si>
  <si>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</si>
  <si>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</si>
  <si>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</si>
  <si>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</si>
  <si>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</si>
  <si>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</si>
  <si>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</si>
  <si>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</si>
  <si>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</si>
  <si>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</si>
  <si>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</si>
  <si>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</si>
  <si>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</si>
  <si>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</si>
  <si>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</si>
  <si>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</si>
  <si>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</si>
  <si>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</si>
  <si>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</si>
  <si>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</si>
  <si>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</si>
  <si>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</si>
  <si>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</si>
  <si>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</si>
  <si>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</si>
  <si>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</si>
  <si>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</si>
  <si>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</si>
  <si>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</si>
  <si>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</si>
  <si>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</si>
  <si>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</si>
  <si>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</si>
  <si>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</si>
  <si>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</si>
  <si>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</si>
  <si>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</si>
  <si>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</si>
  <si>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</si>
  <si>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</si>
  <si>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</si>
  <si>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</si>
  <si>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</si>
  <si>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</si>
  <si>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</si>
  <si>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</si>
  <si>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</si>
  <si>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</si>
  <si>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</si>
  <si>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</si>
  <si>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</si>
  <si>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</si>
  <si>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</si>
  <si>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</si>
  <si>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</si>
  <si>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</si>
  <si>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</si>
  <si>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</si>
  <si>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</si>
  <si>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</si>
  <si>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</si>
  <si>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</si>
  <si>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</si>
  <si>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</si>
  <si>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</si>
  <si>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</si>
  <si>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</si>
  <si>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</si>
  <si>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</si>
  <si>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</si>
  <si>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</si>
  <si>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</si>
  <si>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</si>
  <si>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</si>
  <si>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</si>
  <si>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</si>
  <si>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</si>
  <si>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</si>
  <si>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</si>
  <si>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</si>
  <si>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</si>
  <si>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</si>
  <si>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</si>
  <si>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</si>
  <si>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</si>
  <si>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</si>
  <si>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</si>
  <si>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</si>
  <si>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</si>
  <si>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</si>
  <si>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</si>
  <si>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</si>
  <si>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</si>
  <si>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</si>
  <si>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</si>
  <si>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</si>
  <si>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</si>
  <si>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</si>
  <si>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</si>
  <si>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</si>
  <si>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</si>
  <si>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</si>
  <si>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</si>
  <si>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</si>
  <si>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</si>
  <si>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</si>
  <si>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</si>
  <si>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</si>
  <si>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</si>
  <si>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</si>
  <si>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</si>
  <si>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</si>
  <si>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</si>
  <si>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</si>
  <si>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</si>
  <si>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</si>
  <si>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</si>
  <si>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</si>
  <si>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</si>
  <si>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</si>
  <si>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</si>
  <si>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</si>
  <si>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</si>
  <si>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</si>
  <si>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</si>
  <si>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</si>
  <si>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</si>
  <si>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</si>
  <si>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</si>
  <si>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</si>
  <si>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</si>
  <si>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</si>
  <si>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</si>
  <si>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</si>
  <si>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</si>
  <si>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</si>
  <si>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</si>
  <si>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</si>
  <si>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</si>
  <si>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</si>
  <si>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</si>
  <si>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</si>
  <si>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</si>
  <si>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</si>
  <si>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</si>
  <si>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</si>
  <si>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</si>
  <si>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</si>
  <si>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</si>
  <si>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</si>
  <si>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</si>
  <si>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</si>
  <si>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</si>
  <si>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</si>
  <si>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</si>
  <si>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</si>
  <si>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</si>
  <si>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</si>
  <si>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</si>
  <si>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</si>
  <si>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</si>
  <si>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</si>
  <si>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</si>
  <si>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</si>
  <si>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</si>
  <si>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</si>
  <si>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</si>
  <si>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</si>
  <si>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</si>
  <si>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</si>
  <si>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</si>
  <si>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</si>
  <si>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</si>
  <si>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</si>
  <si>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</si>
  <si>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</si>
  <si>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</si>
  <si>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</si>
  <si>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</si>
  <si>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</si>
  <si>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</si>
  <si>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</si>
  <si>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</si>
  <si>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</si>
  <si>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</si>
  <si>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</si>
  <si>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</si>
  <si>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</si>
  <si>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</si>
  <si>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</si>
  <si>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</si>
  <si>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</si>
  <si>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</si>
  <si>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</si>
  <si>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</si>
  <si>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</si>
  <si>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</si>
  <si>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</si>
  <si>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</si>
  <si>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</si>
  <si>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</si>
  <si>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</si>
  <si>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</si>
  <si>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</si>
  <si>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</si>
  <si>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</si>
  <si>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</si>
  <si>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</si>
  <si>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</si>
  <si>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</si>
  <si>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</si>
  <si>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</si>
  <si>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</si>
  <si>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</si>
  <si>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</si>
  <si>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</si>
  <si>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</si>
  <si>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</si>
  <si>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</si>
  <si>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</si>
  <si>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</si>
  <si>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</si>
  <si>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</si>
  <si>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</si>
  <si>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</si>
  <si>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</si>
  <si>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</si>
  <si>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</si>
  <si>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</si>
  <si>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</si>
  <si>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</si>
  <si>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</si>
  <si>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</si>
  <si>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</si>
  <si>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</si>
  <si>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</si>
  <si>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</si>
  <si>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</si>
  <si>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</si>
  <si>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</si>
  <si>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</si>
  <si>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</si>
  <si>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</si>
  <si>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</si>
  <si>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</si>
  <si>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</si>
  <si>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</si>
  <si>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</si>
  <si>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</si>
  <si>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</si>
  <si>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</si>
  <si>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</si>
  <si>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</si>
  <si>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</si>
  <si>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</si>
  <si>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</si>
  <si>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</si>
  <si>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</si>
  <si>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</si>
  <si>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</si>
  <si>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</si>
  <si>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</si>
  <si>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</si>
  <si>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</si>
  <si>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</si>
  <si>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</si>
  <si>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</si>
  <si>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</si>
  <si>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</si>
  <si>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</si>
  <si>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</si>
  <si>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</si>
  <si>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</si>
  <si>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</si>
  <si>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</si>
  <si>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</si>
  <si>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</si>
  <si>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</si>
  <si>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</si>
  <si>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</si>
  <si>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</si>
  <si>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</si>
  <si>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</si>
  <si>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</si>
  <si>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</si>
  <si>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</si>
  <si>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</si>
  <si>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</si>
  <si>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</si>
  <si>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</si>
  <si>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</si>
  <si>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</si>
  <si>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</si>
  <si>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</si>
  <si>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</si>
  <si>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</si>
  <si>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</si>
  <si>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</si>
  <si>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</si>
  <si>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</si>
  <si>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</si>
  <si>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</si>
  <si>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</si>
  <si>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</si>
  <si>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</si>
  <si>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</si>
  <si>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</si>
  <si>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</si>
  <si>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</si>
  <si>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</si>
  <si>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</si>
  <si>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</si>
  <si>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</si>
  <si>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</si>
  <si>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</si>
  <si>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</si>
  <si>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</si>
  <si>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</si>
  <si>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</si>
  <si>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</si>
  <si>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</si>
  <si>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</si>
  <si>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</si>
  <si>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</si>
  <si>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</si>
  <si>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</si>
  <si>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</si>
  <si>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</si>
  <si>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</si>
  <si>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</si>
  <si>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</si>
  <si>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</si>
  <si>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</si>
  <si>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</si>
  <si>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</si>
  <si>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</si>
  <si>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</si>
  <si>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</si>
  <si>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</si>
  <si>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</si>
  <si>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</si>
  <si>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</si>
  <si>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</si>
  <si>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</si>
  <si>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</si>
  <si>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</si>
  <si>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</si>
  <si>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</si>
  <si>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</si>
  <si>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</si>
  <si>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</si>
  <si>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</si>
  <si>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</si>
  <si>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</si>
  <si>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</si>
  <si>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</si>
  <si>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</si>
  <si>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</si>
  <si>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</si>
  <si>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</si>
  <si>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</si>
  <si>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</si>
  <si>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</si>
  <si>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</si>
  <si>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</si>
  <si>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</si>
  <si>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</si>
  <si>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</si>
  <si>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</si>
  <si>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</si>
  <si>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</si>
  <si>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</si>
  <si>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</si>
  <si>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</si>
  <si>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</si>
  <si>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</si>
  <si>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</si>
  <si>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</si>
  <si>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</si>
  <si>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</si>
  <si>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</si>
  <si>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</si>
  <si>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</si>
  <si>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</si>
  <si>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</si>
  <si>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</si>
  <si>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</si>
  <si>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</si>
  <si>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</si>
  <si>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</si>
  <si>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</si>
  <si>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</si>
  <si>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</si>
  <si>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</si>
  <si>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</si>
  <si>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</si>
  <si>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</si>
  <si>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</si>
  <si>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</si>
  <si>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</si>
  <si>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</si>
  <si>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</si>
  <si>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</si>
  <si>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</si>
  <si>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</si>
  <si>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</si>
  <si>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</si>
  <si>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</si>
  <si>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</si>
  <si>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</si>
  <si>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</si>
  <si>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</si>
  <si>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</si>
  <si>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</si>
  <si>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</si>
  <si>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</si>
  <si>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</si>
  <si>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</si>
  <si>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</si>
  <si>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</si>
  <si>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</si>
  <si>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</si>
  <si>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</si>
  <si>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</si>
  <si>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</si>
  <si>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</si>
  <si>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</si>
  <si>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</si>
  <si>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</si>
  <si>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</si>
  <si>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</si>
  <si>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</si>
  <si>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</si>
  <si>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</si>
  <si>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</si>
  <si>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</si>
  <si>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</si>
  <si>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</si>
  <si>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</si>
  <si>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</si>
  <si>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</si>
  <si>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</si>
  <si>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</si>
  <si>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</si>
  <si>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</si>
  <si>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</si>
  <si>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</si>
  <si>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</si>
  <si>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</si>
  <si>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</si>
  <si>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</si>
  <si>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</si>
  <si>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</si>
  <si>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</si>
  <si>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</si>
  <si>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</si>
  <si>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</si>
  <si>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</si>
  <si>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</si>
  <si>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</si>
  <si>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</si>
  <si>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</si>
  <si>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</si>
  <si>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</si>
  <si>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</si>
  <si>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</si>
  <si>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</si>
  <si>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</si>
  <si>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</si>
  <si>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</si>
  <si>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</si>
  <si>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</si>
  <si>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</si>
  <si>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</si>
  <si>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</si>
  <si>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</si>
  <si>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</si>
  <si>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</si>
  <si>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</si>
  <si>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</si>
  <si>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</si>
  <si>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</si>
  <si>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</si>
  <si>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</si>
  <si>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</si>
  <si>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</si>
  <si>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</si>
  <si>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</si>
  <si>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</si>
  <si>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</si>
  <si>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</si>
  <si>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</si>
  <si>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</si>
  <si>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</si>
  <si>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</si>
  <si>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</si>
  <si>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</si>
  <si>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</si>
  <si>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</si>
  <si>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</si>
  <si>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</si>
  <si>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</si>
  <si>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</si>
  <si>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</si>
  <si>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</si>
  <si>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</si>
  <si>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</si>
  <si>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</si>
  <si>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</si>
  <si>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</si>
  <si>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</si>
  <si>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</si>
  <si>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</si>
  <si>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</si>
  <si>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</si>
  <si>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</si>
  <si>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</si>
  <si>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</si>
  <si>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</si>
  <si>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</si>
  <si>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</si>
  <si>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</si>
  <si>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</si>
  <si>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</si>
  <si>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</si>
  <si>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</si>
  <si>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</si>
  <si>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</si>
  <si>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</si>
  <si>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</si>
  <si>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</si>
  <si>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</si>
  <si>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</si>
  <si>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</si>
  <si>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</si>
  <si>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</si>
  <si>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</si>
  <si>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</si>
  <si>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</si>
  <si>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</si>
  <si>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</si>
  <si>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</si>
  <si>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</si>
  <si>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</si>
  <si>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</si>
  <si>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</si>
  <si>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</si>
  <si>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</si>
  <si>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</si>
  <si>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</si>
  <si>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</si>
  <si>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</si>
  <si>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</si>
  <si>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</si>
  <si>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</si>
  <si>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</si>
  <si>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</si>
  <si>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</si>
  <si>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</si>
  <si>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</si>
  <si>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</si>
  <si>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</si>
  <si>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</si>
  <si>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</si>
  <si>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</si>
  <si>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</si>
  <si>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</si>
  <si>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</si>
  <si>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</si>
  <si>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</si>
  <si>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</si>
  <si>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</si>
  <si>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</si>
  <si>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</si>
  <si>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</si>
  <si>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</si>
  <si>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</si>
  <si>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</si>
  <si>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</si>
  <si>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</si>
  <si>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</si>
  <si>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</si>
  <si>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</si>
  <si>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</si>
  <si>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</si>
  <si>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</si>
  <si>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</si>
  <si>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</si>
  <si>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</si>
  <si>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</si>
  <si>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</si>
  <si>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</si>
  <si>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</si>
  <si>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</si>
  <si>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</si>
  <si>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</si>
  <si>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</si>
  <si>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</si>
  <si>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</si>
  <si>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</si>
  <si>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</si>
  <si>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</si>
  <si>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</si>
  <si>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</si>
  <si>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</si>
  <si>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</si>
  <si>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</si>
  <si>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</si>
  <si>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</si>
  <si>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</si>
  <si>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</si>
  <si>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</si>
  <si>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</si>
  <si>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</si>
  <si>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</si>
  <si>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</si>
  <si>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</si>
  <si>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</si>
  <si>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</si>
  <si>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</si>
  <si>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</si>
  <si>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</si>
  <si>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</si>
  <si>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</si>
  <si>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</si>
  <si>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</si>
  <si>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</si>
  <si>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</si>
  <si>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</si>
  <si>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</si>
  <si>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</si>
  <si>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</si>
  <si>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</si>
  <si>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</si>
  <si>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</si>
  <si>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</si>
  <si>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</si>
  <si>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</si>
  <si>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</si>
  <si>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</si>
  <si>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</si>
  <si>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</si>
  <si>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</si>
  <si>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</si>
  <si>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</si>
  <si>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</si>
  <si>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</si>
  <si>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</si>
  <si>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</si>
  <si>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</si>
  <si>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</si>
  <si>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</si>
  <si>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</si>
  <si>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</si>
  <si>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</si>
  <si>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</si>
  <si>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</si>
  <si>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</si>
  <si>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</si>
  <si>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</si>
  <si>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</si>
  <si>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</si>
  <si>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</si>
  <si>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</si>
  <si>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</si>
  <si>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</si>
  <si>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</si>
  <si>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</si>
  <si>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</si>
  <si>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</si>
  <si>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</si>
  <si>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</si>
  <si>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</si>
  <si>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</si>
  <si>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</si>
  <si>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</si>
  <si>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</si>
  <si>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</si>
  <si>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</si>
  <si>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</si>
  <si>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</si>
  <si>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</si>
  <si>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</si>
  <si>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</si>
  <si>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</si>
  <si>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</si>
  <si>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</si>
  <si>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</si>
  <si>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</si>
  <si>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</si>
  <si>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</si>
  <si>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</si>
  <si>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</si>
  <si>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</si>
  <si>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</si>
  <si>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</si>
  <si>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</si>
  <si>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</si>
  <si>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</si>
  <si>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</si>
  <si>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</si>
  <si>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</si>
  <si>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</si>
  <si>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</si>
  <si>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</si>
  <si>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</si>
  <si>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</si>
  <si>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</si>
  <si>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</si>
  <si>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</si>
  <si>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</si>
  <si>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</si>
  <si>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</si>
  <si>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</si>
  <si>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</si>
  <si>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</si>
  <si>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</si>
  <si>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</si>
  <si>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</si>
  <si>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</si>
  <si>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</si>
  <si>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</si>
  <si>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</si>
  <si>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</si>
  <si>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</si>
  <si>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</si>
  <si>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</si>
  <si>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</si>
  <si>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</si>
  <si>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</si>
  <si>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</si>
  <si>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</si>
  <si>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</si>
  <si>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</si>
  <si>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</si>
  <si>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</si>
  <si>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</si>
  <si>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</si>
  <si>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</si>
  <si>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</si>
  <si>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</si>
  <si>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</si>
  <si>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</si>
  <si>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</si>
  <si>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</si>
  <si>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</si>
  <si>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</si>
  <si>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</si>
  <si>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</si>
  <si>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</si>
  <si>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</si>
  <si>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</si>
  <si>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</si>
  <si>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</si>
  <si>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</si>
  <si>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</si>
  <si>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</si>
  <si>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</si>
  <si>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</si>
  <si>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</si>
  <si>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</si>
  <si>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</si>
  <si>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</si>
  <si>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</si>
  <si>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</si>
  <si>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</si>
  <si>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</si>
  <si>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</si>
  <si>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</si>
  <si>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</si>
  <si>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</si>
  <si>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</si>
  <si>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</si>
  <si>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</si>
  <si>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</si>
  <si>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</si>
  <si>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</si>
  <si>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</si>
  <si>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</si>
  <si>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</si>
  <si>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</si>
  <si>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</si>
  <si>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</si>
  <si>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</si>
  <si>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</si>
  <si>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</si>
  <si>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</si>
  <si>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</si>
  <si>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</si>
  <si>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</si>
  <si>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</si>
  <si>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1410 - TIGUAN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</si>
</sst>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39.9</c:v>
                </c:pt>
                <c:pt idx="2">
                  <c:v>26</c:v>
                </c:pt>
                <c:pt idx="3">
                  <c:v>26</c:v>
                </c:pt>
                <c:pt idx="4">
                  <c:v>13</c:v>
                </c:pt>
                <c:pt idx="6">
                  <c:v>24.8</c:v>
                </c:pt>
                <c:pt idx="7">
                  <c:v>24.5</c:v>
                </c:pt>
                <c:pt idx="8">
                  <c:v>25.3</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34.892586333677698</c:v>
                </c:pt>
              </c:numCache>
            </c:numRef>
          </c:xVal>
          <c:yVal>
            <c:numRef>
              <c:f>'Diagram Data'!$F$25</c:f>
              <c:numCache>
                <c:formatCode>0.00</c:formatCode>
                <c:ptCount val="1"/>
                <c:pt idx="0">
                  <c:v>350.4549917612735</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34.488284465767762</c:v>
                </c:pt>
              </c:numCache>
            </c:numRef>
          </c:xVal>
          <c:yVal>
            <c:numRef>
              <c:f>'Diagram Data'!$F$29</c:f>
              <c:numCache>
                <c:formatCode>0.00</c:formatCode>
                <c:ptCount val="1"/>
                <c:pt idx="0">
                  <c:v>350.4549917612735</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19.77095723160814</c:v>
                </c:pt>
              </c:numCache>
            </c:numRef>
          </c:xVal>
          <c:yVal>
            <c:numRef>
              <c:f>'Diagram Data'!$F$33</c:f>
              <c:numCache>
                <c:formatCode>0.00</c:formatCode>
                <c:ptCount val="1"/>
                <c:pt idx="0">
                  <c:v>94.739579031654245</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21.822516825906188</c:v>
                </c:pt>
                <c:pt idx="1">
                  <c:v>22.669277537084998</c:v>
                </c:pt>
                <c:pt idx="2">
                  <c:v>24.441662946292695</c:v>
                </c:pt>
                <c:pt idx="3">
                  <c:v>27.429565372229771</c:v>
                </c:pt>
                <c:pt idx="4">
                  <c:v>30.970705227344794</c:v>
                </c:pt>
                <c:pt idx="5">
                  <c:v>33.799135063887547</c:v>
                </c:pt>
                <c:pt idx="6">
                  <c:v>34.892471545087623</c:v>
                </c:pt>
                <c:pt idx="7">
                  <c:v>33.804934352529237</c:v>
                </c:pt>
                <c:pt idx="8">
                  <c:v>30.748198028311378</c:v>
                </c:pt>
                <c:pt idx="9">
                  <c:v>26.55472326243731</c:v>
                </c:pt>
                <c:pt idx="10">
                  <c:v>22.797739213090082</c:v>
                </c:pt>
                <c:pt idx="11">
                  <c:v>21.605103796964677</c:v>
                </c:pt>
                <c:pt idx="12">
                  <c:v>21.822516825906188</c:v>
                </c:pt>
                <c:pt idx="13">
                  <c:v>22.669277537084994</c:v>
                </c:pt>
                <c:pt idx="14">
                  <c:v>24.441662946292695</c:v>
                </c:pt>
                <c:pt idx="15">
                  <c:v>27.429565372229771</c:v>
                </c:pt>
                <c:pt idx="16">
                  <c:v>30.970705227344787</c:v>
                </c:pt>
                <c:pt idx="17">
                  <c:v>33.799135063887547</c:v>
                </c:pt>
                <c:pt idx="18">
                  <c:v>34.892471545087623</c:v>
                </c:pt>
                <c:pt idx="19">
                  <c:v>33.804934352529237</c:v>
                </c:pt>
                <c:pt idx="20">
                  <c:v>30.748198028311378</c:v>
                </c:pt>
                <c:pt idx="21">
                  <c:v>26.55472326243731</c:v>
                </c:pt>
                <c:pt idx="22">
                  <c:v>22.79773921309009</c:v>
                </c:pt>
                <c:pt idx="23">
                  <c:v>21.605103796964674</c:v>
                </c:pt>
                <c:pt idx="24">
                  <c:v>21.822516825906188</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34.471096608289898</c:v>
                </c:pt>
                <c:pt idx="1">
                  <c:v>33.606176217468104</c:v>
                </c:pt>
                <c:pt idx="2">
                  <c:v>30.703277328732568</c:v>
                </c:pt>
                <c:pt idx="3">
                  <c:v>26.540229355029172</c:v>
                </c:pt>
                <c:pt idx="4">
                  <c:v>22.23251763896377</c:v>
                </c:pt>
                <c:pt idx="5">
                  <c:v>18.934390056082165</c:v>
                </c:pt>
                <c:pt idx="6">
                  <c:v>17.529577228752302</c:v>
                </c:pt>
                <c:pt idx="7">
                  <c:v>18.394497619574096</c:v>
                </c:pt>
                <c:pt idx="8">
                  <c:v>21.297396508309632</c:v>
                </c:pt>
                <c:pt idx="9">
                  <c:v>25.460444482013031</c:v>
                </c:pt>
                <c:pt idx="10">
                  <c:v>29.768156198078437</c:v>
                </c:pt>
                <c:pt idx="11">
                  <c:v>33.066283780960035</c:v>
                </c:pt>
                <c:pt idx="12">
                  <c:v>34.471096608289898</c:v>
                </c:pt>
                <c:pt idx="13">
                  <c:v>33.606176217468111</c:v>
                </c:pt>
                <c:pt idx="14">
                  <c:v>30.703277328732565</c:v>
                </c:pt>
                <c:pt idx="15">
                  <c:v>26.540229355029176</c:v>
                </c:pt>
                <c:pt idx="16">
                  <c:v>22.232517638963778</c:v>
                </c:pt>
                <c:pt idx="17">
                  <c:v>18.934390056082165</c:v>
                </c:pt>
                <c:pt idx="18">
                  <c:v>17.529577228752302</c:v>
                </c:pt>
                <c:pt idx="19">
                  <c:v>18.3944976195741</c:v>
                </c:pt>
                <c:pt idx="20">
                  <c:v>21.297396508309639</c:v>
                </c:pt>
                <c:pt idx="21">
                  <c:v>25.460444482013028</c:v>
                </c:pt>
                <c:pt idx="22">
                  <c:v>29.768156198078429</c:v>
                </c:pt>
                <c:pt idx="23">
                  <c:v>33.066283780960035</c:v>
                </c:pt>
                <c:pt idx="24">
                  <c:v>34.471096608289898</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90.151927234714591</c:v>
                </c:pt>
              </c:numCache>
            </c:numRef>
          </c:xVal>
          <c:yVal>
            <c:numRef>
              <c:f>'Payload Input'!$J$89</c:f>
              <c:numCache>
                <c:formatCode>General</c:formatCode>
                <c:ptCount val="1"/>
                <c:pt idx="0">
                  <c:v>34.892586333677698</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1.8234357966033965</c:v>
                </c:pt>
              </c:numCache>
            </c:numRef>
          </c:xVal>
          <c:yVal>
            <c:numRef>
              <c:f>'Payload Input'!$K$90</c:f>
              <c:numCache>
                <c:formatCode>General</c:formatCode>
                <c:ptCount val="1"/>
                <c:pt idx="0">
                  <c:v>34.488284465767762</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19.77095723160814</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svd/pW0QPKf0XKw2J4BEcoX07iH2XMKsWN4kT+lr84xpiBGxuNUE8fN08+vzG4tEJ2uemyll8E2YKw3YCzVNcg==" saltValue="ALNFbBfvDwNLTeiVxGXr1g=="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kFlJH5kHeit7VkcjvyH0IM6YAtdk2Hee2yimh0faMwcnAXbYw33CH+EFSXvT1mRb3t7LbsiDZPatS7Fy6w3ZKA==" saltValue="2KoPCpFZDkbpgWiUmQ7Thw=="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EAfSYrYXpyktTMsa2Q6Dkvi9Mwji28zfHjXKkxIuA/NX4PO6845lENo8rm+78wo6t7LasYe95n50Gq5fNV3g3w==" saltValue="b/ypKnmZCfFeWsinXFDGpQ=="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JRQcENKqsRm6qtzEP8lLY9fHcOWfSAEDV3bj9GP0h/Lr9eFHoogIeLh3WV/OSpwOe6cqSgv1YScgpK1BctDgTw==" saltValue="IVtcp9M+zDe6sAJTGXz8ow=="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R-2000iB/210F</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85.43</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-8.6196999999999996E-2</v>
      </c>
      <c r="F13" s="661" t="s">
        <v>3913</v>
      </c>
      <c r="G13" s="129"/>
      <c r="H13" s="148" t="str">
        <f>'Wrist Load Analysis'!R16</f>
        <v>OK</v>
      </c>
    </row>
    <row r="14" spans="1:8" ht="13.5" thickBot="1">
      <c r="B14" s="141" t="str">
        <f>HLOOKUP(Anal_Payload_Code,Unit_text,5)</f>
        <v>Payload Center Y (m)</v>
      </c>
      <c r="C14" s="289">
        <v>7.3316999999999993E-2</v>
      </c>
      <c r="F14" s="662" t="s">
        <v>3914</v>
      </c>
      <c r="G14" s="64"/>
      <c r="H14" s="372" t="str">
        <f>'Wrist Load Analysis'!R17</f>
        <v>OK</v>
      </c>
    </row>
    <row r="15" spans="1:8">
      <c r="B15" s="141" t="str">
        <f>IF(Axis_Type=1,"--------------------------------",HLOOKUP(Anal_Payload_Code,Unit_text,6))</f>
        <v>Payload Center Z (m)</v>
      </c>
      <c r="C15" s="289">
        <v>0.16801099999999999</v>
      </c>
      <c r="F15" s="373"/>
      <c r="G15" s="147"/>
      <c r="H15" s="147"/>
    </row>
    <row r="16" spans="1:8">
      <c r="A16" s="224"/>
      <c r="B16" s="141" t="str">
        <f>HLOOKUP(Anal_Payload_Code,Unit_text,7)</f>
        <v>Payload Inertia Ix (Kg.m^2)</v>
      </c>
      <c r="C16" s="289">
        <v>3.1949999999999998</v>
      </c>
      <c r="E16" s="224"/>
      <c r="F16" s="4"/>
      <c r="G16" s="129"/>
      <c r="H16" s="129"/>
    </row>
    <row r="17" spans="1:8" ht="13.5" thickBot="1">
      <c r="B17" s="225" t="str">
        <f>HLOOKUP(Anal_Payload_Code,Unit_text,8)</f>
        <v>Payload Inertia Iy (Kg.m^2)</v>
      </c>
      <c r="C17" s="290">
        <v>19.960999999999999</v>
      </c>
      <c r="D17" s="224"/>
      <c r="F17" s="10"/>
      <c r="G17" s="223"/>
      <c r="H17" s="223"/>
    </row>
    <row r="18" spans="1:8" ht="16.149999999999999" customHeight="1" thickBot="1">
      <c r="B18" s="351" t="str">
        <f>IF(Axis_Type=1,"--------------------------------",HLOOKUP(Anal_Payload_Code,Unit_text,9))</f>
        <v>Payload Inertia Iz (Kg.m^2)</v>
      </c>
      <c r="C18" s="444">
        <v>18.677</v>
      </c>
      <c r="F18" s="656" t="s">
        <v>3956</v>
      </c>
      <c r="G18" s="146"/>
      <c r="H18" s="145"/>
    </row>
    <row r="19" spans="1:8" ht="16.5" thickBot="1">
      <c r="A19" s="224"/>
      <c r="C19" s="162"/>
      <c r="D19" s="162"/>
      <c r="E19" s="224"/>
      <c r="F19" s="665" t="s">
        <v>4037</v>
      </c>
      <c r="G19" s="149"/>
      <c r="H19" s="277">
        <f>'Wrist Load Analysis'!R20</f>
        <v>39.9</v>
      </c>
    </row>
    <row r="20" spans="1:8" ht="15.75" thickBot="1">
      <c r="A20" s="224"/>
      <c r="B20" s="656" t="s">
        <v>3938</v>
      </c>
      <c r="C20" s="659" t="s">
        <v>3939</v>
      </c>
      <c r="D20" s="660" t="s">
        <v>3940</v>
      </c>
      <c r="E20" s="224"/>
      <c r="F20" s="806" t="s">
        <v>4038</v>
      </c>
      <c r="G20" s="807"/>
      <c r="H20" s="347">
        <f>ROUNDDOWN(Payload_lim_J3,1)</f>
        <v>214.4</v>
      </c>
    </row>
    <row r="21" spans="1:8">
      <c r="A21" s="224"/>
      <c r="B21" s="661" t="s">
        <v>4036</v>
      </c>
      <c r="C21" s="287">
        <f>VLOOKUP('Misc Data'!$B$26,Table1,12)</f>
        <v>210</v>
      </c>
      <c r="D21" s="314">
        <f>'Wrist Load Analysis'!R6</f>
        <v>85.43</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26</v>
      </c>
    </row>
    <row r="23" spans="1:8">
      <c r="B23" s="661" t="s">
        <v>3942</v>
      </c>
      <c r="C23" s="287">
        <f>VLOOKUP('Misc Data'!$B$26,Table1,6)</f>
        <v>1333</v>
      </c>
      <c r="D23" s="314">
        <f>'Wrist Load Analysis'!R7</f>
        <v>350.4549917612735</v>
      </c>
      <c r="F23" s="661" t="s">
        <v>3959</v>
      </c>
      <c r="G23" s="327"/>
      <c r="H23" s="148">
        <f>'Wrist Load Analysis'!R23</f>
        <v>26</v>
      </c>
    </row>
    <row r="24" spans="1:8" ht="13.5" thickBot="1">
      <c r="A24" s="224"/>
      <c r="B24" s="661" t="s">
        <v>3943</v>
      </c>
      <c r="C24" s="287">
        <f>VLOOKUP('Misc Data'!$B$26,Table1,7)</f>
        <v>1333</v>
      </c>
      <c r="D24" s="314">
        <f>'Wrist Load Analysis'!R8</f>
        <v>350.4549917612735</v>
      </c>
      <c r="E24" s="224"/>
      <c r="F24" s="662" t="s">
        <v>3960</v>
      </c>
      <c r="G24" s="328"/>
      <c r="H24" s="279">
        <f>IF(Axis_Count=1,"-",'Wrist Load Analysis'!R24)</f>
        <v>13</v>
      </c>
    </row>
    <row r="25" spans="1:8">
      <c r="A25" s="224"/>
      <c r="B25" s="661" t="s">
        <v>3944</v>
      </c>
      <c r="C25" s="287">
        <f>VLOOKUP('Misc Data'!$B$26,Table1,8)</f>
        <v>706</v>
      </c>
      <c r="D25" s="314">
        <f>IF(Axis_Count=1,"-",'Wrist Load Analysis'!R9)</f>
        <v>94.739579031654245</v>
      </c>
      <c r="E25" s="224"/>
      <c r="F25" s="667" t="s">
        <v>3961</v>
      </c>
      <c r="G25" s="150"/>
      <c r="H25" s="312"/>
    </row>
    <row r="26" spans="1:8">
      <c r="A26" s="224"/>
      <c r="B26" s="661" t="s">
        <v>3945</v>
      </c>
      <c r="C26" s="287">
        <f>VLOOKUP('Misc Data'!$B$26,Table1,9)</f>
        <v>141.1</v>
      </c>
      <c r="D26" s="314">
        <f>'Wrist Load Analysis'!R10</f>
        <v>34.892586333677698</v>
      </c>
      <c r="E26" s="224"/>
      <c r="F26" s="661" t="s">
        <v>3958</v>
      </c>
      <c r="G26" s="226"/>
      <c r="H26" s="278">
        <f>'Wrist Load Analysis'!R26</f>
        <v>24.8</v>
      </c>
    </row>
    <row r="27" spans="1:8">
      <c r="A27" s="224"/>
      <c r="B27" s="661" t="s">
        <v>3946</v>
      </c>
      <c r="C27" s="287">
        <f>VLOOKUP('Misc Data'!$B$26,Table1,10)</f>
        <v>141.1</v>
      </c>
      <c r="D27" s="314">
        <f>'Wrist Load Analysis'!R11</f>
        <v>34.488284465767762</v>
      </c>
      <c r="E27" s="224"/>
      <c r="F27" s="661" t="s">
        <v>3959</v>
      </c>
      <c r="G27" s="227"/>
      <c r="H27" s="278">
        <f>'Wrist Load Analysis'!R27</f>
        <v>24.5</v>
      </c>
    </row>
    <row r="28" spans="1:8" ht="13.5" thickBot="1">
      <c r="A28" s="224"/>
      <c r="B28" s="662" t="s">
        <v>3947</v>
      </c>
      <c r="C28" s="440">
        <f>VLOOKUP('Misc Data'!$B$26,Table1,11)</f>
        <v>78.400000000000006</v>
      </c>
      <c r="D28" s="441">
        <f>IF(Axis_Count=1,"-",'Wrist Load Analysis'!R12)</f>
        <v>19.77095723160814</v>
      </c>
      <c r="E28" s="224"/>
      <c r="F28" s="662" t="s">
        <v>3960</v>
      </c>
      <c r="G28" s="228"/>
      <c r="H28" s="279">
        <f>IF(Axis_Count=1,"-",'Wrist Load Analysis'!R28)</f>
        <v>25.3</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gDGNt/vBLa84lkGoiEyvFCXYvvRbpJ8OSOhJy5wCh2bYpOEVMT5eb3Db1YsSfMINictxFwHtiNn1mgVYBlWMcA==" saltValue="HNq1ok3xD03c91Oz/R7OX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R-2000iB/210F</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1410 - TIGUAN</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xDXy+3V0hfzdiXFD2n1w7PGzsPPdz8F6gTeK29DhVANFib1Eyc2WyxCgvwraTsWgnJXArd2zXM0KaqmU7n2fQw==" saltValue="ikvglDv0CJpYyLkVfE9ayA=="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85.43</v>
      </c>
      <c r="G9" s="304"/>
      <c r="H9" s="295"/>
      <c r="I9" s="295"/>
    </row>
    <row r="10" spans="1:12" ht="13.5">
      <c r="A10" s="295"/>
      <c r="B10" s="303"/>
      <c r="C10" s="305">
        <v>3</v>
      </c>
      <c r="D10" s="295" t="s">
        <v>3756</v>
      </c>
      <c r="E10" s="295" t="str">
        <f>IF($E$22=TRUE,"[m]","[cm]")</f>
        <v>[cm]</v>
      </c>
      <c r="F10" s="306">
        <f>IF(Load_Set_2=FALSE,"-",IF($E$22=TRUE,Load_Set_2/100,Load_Set_2))</f>
        <v>-8.6199999999999992</v>
      </c>
      <c r="G10" s="304"/>
      <c r="H10" s="295"/>
      <c r="I10" s="295"/>
    </row>
    <row r="11" spans="1:12" ht="13.5">
      <c r="A11" s="295"/>
      <c r="B11" s="303"/>
      <c r="C11" s="305">
        <v>4</v>
      </c>
      <c r="D11" s="295" t="s">
        <v>3011</v>
      </c>
      <c r="E11" s="295" t="str">
        <f>IF($E$22=TRUE,"[m]","[cm]")</f>
        <v>[cm]</v>
      </c>
      <c r="F11" s="306">
        <f>IF(Load_Set_3=FALSE,"-",IF($E$22=TRUE,Load_Set_3/100,Load_Set_3))</f>
        <v>7.3319999999999999</v>
      </c>
      <c r="G11" s="304"/>
      <c r="H11" s="295"/>
      <c r="I11" s="295"/>
    </row>
    <row r="12" spans="1:12" ht="13.5">
      <c r="A12" s="295"/>
      <c r="B12" s="376"/>
      <c r="C12" s="305">
        <v>5</v>
      </c>
      <c r="D12" s="295" t="s">
        <v>350</v>
      </c>
      <c r="E12" s="295" t="str">
        <f>IF($E$22=TRUE,"[m]","[cm]")</f>
        <v>[cm]</v>
      </c>
      <c r="F12" s="306">
        <f>IF(Load_Set_4=FALSE,"-",IF($E$22=TRUE,Load_Set_4/100,Load_Set_4))</f>
        <v>16.800999999999998</v>
      </c>
      <c r="G12" s="304"/>
      <c r="H12" s="295"/>
      <c r="I12" s="295"/>
    </row>
    <row r="13" spans="1:12" ht="13.5">
      <c r="A13" s="295"/>
      <c r="B13" s="303"/>
      <c r="C13" s="305">
        <v>6</v>
      </c>
      <c r="D13" s="295" t="s">
        <v>1116</v>
      </c>
      <c r="E13" s="295" t="str">
        <f>IF($E$22=TRUE,"[kgm^2]","[kgfcms^2]")</f>
        <v>[kgfcms^2]</v>
      </c>
      <c r="F13" s="306">
        <f>IF(Load_Set_5=FALSE,"-",IF($E$22=TRUE,Load_Set_5*0.098,Load_Set_5))</f>
        <v>32.601999999999997</v>
      </c>
      <c r="G13" s="304"/>
      <c r="H13" s="295"/>
      <c r="I13" s="295"/>
    </row>
    <row r="14" spans="1:12" ht="13.5">
      <c r="A14" s="295"/>
      <c r="B14" s="303"/>
      <c r="C14" s="305">
        <v>7</v>
      </c>
      <c r="D14" s="295" t="s">
        <v>1847</v>
      </c>
      <c r="E14" s="295" t="str">
        <f>IF($E$22=TRUE,"[kgm^2]","[kgfcms^2]")</f>
        <v>[kgfcms^2]</v>
      </c>
      <c r="F14" s="306">
        <f>IF(Load_Set_6=FALSE,"-",IF($E$22=TRUE,Load_Set_6*0.098,Load_Set_6))</f>
        <v>203.684</v>
      </c>
      <c r="G14" s="304"/>
      <c r="H14" s="295"/>
      <c r="I14" s="295"/>
    </row>
    <row r="15" spans="1:12" ht="13.5">
      <c r="A15" s="295"/>
      <c r="B15" s="303"/>
      <c r="C15" s="305">
        <v>8</v>
      </c>
      <c r="D15" s="295" t="s">
        <v>3012</v>
      </c>
      <c r="E15" s="295" t="str">
        <f>IF($E$22=TRUE,"[kgm^2]","[kgfcms^2]")</f>
        <v>[kgfcms^2]</v>
      </c>
      <c r="F15" s="306">
        <f>IF(Load_Set_7=FALSE,"-",IF($E$22=TRUE,Load_Set_7*0.098,Load_Set_7))</f>
        <v>190.58199999999999</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9Ezp/Se3gD7kfxaHHkZ5vrhwl/1vMjFQyMKKpa+O03Q1sAzWh4Gp/qwYI4s36ihvQZIjif4rmKrU4vFlkA4+7A==" saltValue="vR4E4dL4V6IHfoskdZq+U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IXURwVZcDRUr/yNi4k0w4Ga1VAWKOf/jNydFNPMXlLm0IcarwLALFRtNXzeLorZe5c3Jq14sYIdC1MGsIcADMw==" saltValue="rbP690y3kBiq3MZ2+eAFHQ=="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10001</v>
      </c>
    </row>
    <row r="4" spans="2:18">
      <c r="B4" s="4" t="s">
        <v>2961</v>
      </c>
      <c r="C4" s="6" t="str">
        <f>VLOOKUP(Anal_Robot_Code,Robotlist,2,FALSE)</f>
        <v>R-2000iB/210F</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85.43</v>
      </c>
      <c r="H6" s="513" t="s">
        <v>2962</v>
      </c>
      <c r="I6" s="447">
        <f>IF((Anal_Payload_Code=1),Anal_Input_1,IF((Anal_Payload_Code=2),Anal_Input_1,0))</f>
        <v>85.43</v>
      </c>
      <c r="J6" s="447">
        <f>IF((Anal_Payload_Code=1),Anal_Input_1,IF((Anal_Payload_Code=2),Anal_Input_1,0))</f>
        <v>85.43</v>
      </c>
      <c r="K6" s="447">
        <f>IF((Anal_Payload_Code=1),Anal_Input_1,IF((Anal_Payload_Code=2),Anal_Input_1,0))</f>
        <v>85.43</v>
      </c>
      <c r="L6" s="6"/>
    </row>
    <row r="7" spans="2:18">
      <c r="B7" s="7" t="s">
        <v>2963</v>
      </c>
      <c r="C7" s="514">
        <f t="shared" ref="C7:C12" si="0">IF(Anal_Robot_Code=10105,J7,IF(Anal_Robot_Code=10112,J7,IF(Anal_Robot_Code=10111,K7,I7)))</f>
        <v>-8.6196999999999996E-2</v>
      </c>
      <c r="D7" s="1"/>
      <c r="E7" s="1"/>
      <c r="H7" s="7" t="s">
        <v>2963</v>
      </c>
      <c r="I7" s="447">
        <f>IF((Anal_Payload_Code=1),Anal_Input_2,IF((Anal_Payload_Code=2),Anal_Input_2*0.01,0))</f>
        <v>-8.6196999999999996E-2</v>
      </c>
      <c r="J7" s="448">
        <f>(0.007+L9)*SIN(RADIANS(30))+L7*COS(RADIANS(30))</f>
        <v>1.2856708269992731E-2</v>
      </c>
      <c r="K7" s="448">
        <f>(0.01+L9)*SIN(RADIANS(30))+L7*COS(RADIANS(30))</f>
        <v>1.4356708269992732E-2</v>
      </c>
      <c r="L7" s="369">
        <f>IF((Anal_Payload_Code=1),Anal_Input_2,IF((Anal_Payload_Code=2),Anal_Input_2*0.01,0))</f>
        <v>-8.6196999999999996E-2</v>
      </c>
    </row>
    <row r="8" spans="2:18">
      <c r="B8" s="7" t="s">
        <v>2964</v>
      </c>
      <c r="C8" s="514">
        <f t="shared" si="0"/>
        <v>7.3316999999999993E-2</v>
      </c>
      <c r="D8" s="1"/>
      <c r="E8" s="1"/>
      <c r="H8" s="7" t="s">
        <v>2964</v>
      </c>
      <c r="I8" s="447">
        <f>IF((Anal_Payload_Code=1),Anal_Input_3,IF((Anal_Payload_Code=2),Anal_Input_3*0.01,0))</f>
        <v>7.3316999999999993E-2</v>
      </c>
      <c r="J8" s="447">
        <f>IF((Anal_Payload_Code=1),Anal_Input_3,IF((Anal_Payload_Code=2),Anal_Input_3*0.01,0))</f>
        <v>7.3316999999999993E-2</v>
      </c>
      <c r="K8" s="447">
        <f>IF((Anal_Payload_Code=1),Anal_Input_3,IF((Anal_Payload_Code=2),Anal_Input_3*0.01,0))</f>
        <v>7.3316999999999993E-2</v>
      </c>
      <c r="L8" s="6"/>
    </row>
    <row r="9" spans="2:18">
      <c r="B9" s="7" t="s">
        <v>840</v>
      </c>
      <c r="C9" s="514">
        <f t="shared" si="0"/>
        <v>0.16801099999999999</v>
      </c>
      <c r="D9" s="1"/>
      <c r="E9" s="1"/>
      <c r="H9" s="7" t="s">
        <v>840</v>
      </c>
      <c r="I9" s="447">
        <f>IF((Anal_Payload_Code=1),Anal_Input_4,IF((Anal_Payload_Code=2),Anal_Input_4*0.01,0))</f>
        <v>0.16801099999999999</v>
      </c>
      <c r="J9" s="448">
        <f>(0.007+L9)*COS(RADIANS(30))-L7*SIN(RADIANS(30))</f>
        <v>0.19466247194171837</v>
      </c>
      <c r="K9" s="448">
        <f>(0.01+L9)*COS(RADIANS(30))-L7*SIN(RADIANS(30))</f>
        <v>0.1972605481530717</v>
      </c>
      <c r="L9" s="369">
        <f>IF((Anal_Payload_Code=1),Anal_Input_4,IF((Anal_Payload_Code=2),Anal_Input_4*0.01,0))</f>
        <v>0.16801099999999999</v>
      </c>
    </row>
    <row r="10" spans="2:18">
      <c r="B10" s="7" t="s">
        <v>2965</v>
      </c>
      <c r="C10" s="514">
        <f t="shared" si="0"/>
        <v>3.1949999999999998</v>
      </c>
      <c r="D10" s="1"/>
      <c r="E10" s="1"/>
      <c r="H10" s="7" t="s">
        <v>2965</v>
      </c>
      <c r="I10" s="447">
        <f>IF((Anal_Payload_Code=1),Anal_Input_5,IF((Anal_Payload_Code=2),Anal_Input_5*0.098,0))</f>
        <v>3.1949999999999998</v>
      </c>
      <c r="J10" s="448">
        <f>L10*(COS(RADIANS(30)))^2+L12*(SIN(RADIANS(30)))^2</f>
        <v>7.0654999999999992</v>
      </c>
      <c r="K10" s="448">
        <f>L10*(COS(RADIANS(30)))^2+L12*(SIN(RADIANS(30)))^2</f>
        <v>7.0654999999999992</v>
      </c>
      <c r="L10" s="369">
        <f>IF((Anal_Payload_Code=1),Anal_Input_5,IF((Anal_Payload_Code=2),Anal_Input_5*0.098,0))</f>
        <v>3.1949999999999998</v>
      </c>
    </row>
    <row r="11" spans="2:18">
      <c r="B11" s="7" t="s">
        <v>2362</v>
      </c>
      <c r="C11" s="514">
        <f t="shared" si="0"/>
        <v>19.960999999999999</v>
      </c>
      <c r="D11" s="1"/>
      <c r="E11" s="1"/>
      <c r="H11" s="7" t="s">
        <v>2362</v>
      </c>
      <c r="I11" s="447">
        <f>IF((Anal_Payload_Code=1),Anal_Input_6,IF((Anal_Payload_Code=2),Anal_Input_6*0.098,0))</f>
        <v>19.960999999999999</v>
      </c>
      <c r="J11" s="447">
        <f>IF((Anal_Payload_Code=1),Anal_Input_6,IF((Anal_Payload_Code=2),Anal_Input_6*0.098,0))</f>
        <v>19.960999999999999</v>
      </c>
      <c r="K11" s="447">
        <f>IF((Anal_Payload_Code=1),Anal_Input_6,IF((Anal_Payload_Code=2),Anal_Input_6*0.098,0))</f>
        <v>19.960999999999999</v>
      </c>
      <c r="L11" s="6"/>
    </row>
    <row r="12" spans="2:18">
      <c r="B12" s="7" t="s">
        <v>2363</v>
      </c>
      <c r="C12" s="514">
        <f t="shared" si="0"/>
        <v>18.677</v>
      </c>
      <c r="D12" s="1"/>
      <c r="E12" s="1"/>
      <c r="H12" s="7" t="s">
        <v>2363</v>
      </c>
      <c r="I12" s="447">
        <f>IF((Anal_Payload_Code=1),Anal_Input_7,IF((Anal_Payload_Code=2),Anal_Input_7*0.098,0))</f>
        <v>18.677</v>
      </c>
      <c r="J12" s="448">
        <f>L12*(COS(RADIANS(30)))^2+L10*(SIN(RADIANS(30)))^2</f>
        <v>14.806500000000002</v>
      </c>
      <c r="K12" s="448">
        <f>L12*(COS(RADIANS(30)))^2+L10*(SIN(RADIANS(30)))^2</f>
        <v>14.806500000000002</v>
      </c>
      <c r="L12" s="369">
        <f>IF((Anal_Payload_Code=1),Anal_Input_7,IF((Anal_Payload_Code=2),Anal_Input_7*0.098,0))</f>
        <v>18.677</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85.43</v>
      </c>
      <c r="Y18" s="522"/>
    </row>
    <row r="19" spans="2:27" s="513" customFormat="1" ht="15" thickBot="1">
      <c r="B19" s="523"/>
      <c r="C19" s="519" t="s">
        <v>1863</v>
      </c>
      <c r="D19" s="520" t="s">
        <v>1861</v>
      </c>
      <c r="E19" s="521">
        <f t="shared" ref="E19:E24" si="1">C7</f>
        <v>-8.6196999999999996E-2</v>
      </c>
      <c r="Y19" s="522"/>
    </row>
    <row r="20" spans="2:27" s="513" customFormat="1" ht="15" thickBot="1">
      <c r="B20" s="524" t="s">
        <v>3276</v>
      </c>
      <c r="C20" s="519" t="s">
        <v>3277</v>
      </c>
      <c r="D20" s="520" t="s">
        <v>1861</v>
      </c>
      <c r="E20" s="521">
        <f t="shared" si="1"/>
        <v>7.3316999999999993E-2</v>
      </c>
      <c r="Y20" s="522"/>
    </row>
    <row r="21" spans="2:27" s="513" customFormat="1" ht="15" thickBot="1">
      <c r="B21" s="525"/>
      <c r="C21" s="519" t="s">
        <v>3278</v>
      </c>
      <c r="D21" s="520" t="s">
        <v>1861</v>
      </c>
      <c r="E21" s="521">
        <f t="shared" si="1"/>
        <v>0.16801099999999999</v>
      </c>
      <c r="Y21" s="522"/>
    </row>
    <row r="22" spans="2:27" s="513" customFormat="1" ht="15" thickBot="1">
      <c r="B22" s="526"/>
      <c r="C22" s="519" t="s">
        <v>3279</v>
      </c>
      <c r="D22" s="520" t="s">
        <v>3280</v>
      </c>
      <c r="E22" s="521">
        <f t="shared" si="1"/>
        <v>3.1949999999999998</v>
      </c>
      <c r="Y22" s="522"/>
      <c r="AA22" s="527"/>
    </row>
    <row r="23" spans="2:27" s="513" customFormat="1" ht="15" thickBot="1">
      <c r="B23" s="524" t="s">
        <v>3281</v>
      </c>
      <c r="C23" s="519" t="s">
        <v>3282</v>
      </c>
      <c r="D23" s="520" t="s">
        <v>3280</v>
      </c>
      <c r="E23" s="521">
        <f t="shared" si="1"/>
        <v>19.960999999999999</v>
      </c>
      <c r="Y23" s="522"/>
    </row>
    <row r="24" spans="2:27" s="513" customFormat="1" ht="15" thickBot="1">
      <c r="B24" s="528"/>
      <c r="C24" s="519" t="s">
        <v>3283</v>
      </c>
      <c r="D24" s="520" t="s">
        <v>3280</v>
      </c>
      <c r="E24" s="521">
        <f t="shared" si="1"/>
        <v>18.677</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350.4549917612735</v>
      </c>
      <c r="F31" s="530">
        <f>SQRT((SQRT($E$19^2+$E$20^2)+SQRT(($E$27+$E$28*COS($P$31*PI()/180))^2+$E$28^2*SIN($P$31*PI()/180)^2))^2+($E$21+$E$26)^2)</f>
        <v>0.41859666914465532</v>
      </c>
      <c r="H31" s="533" t="s">
        <v>2365</v>
      </c>
      <c r="I31" s="533" t="s">
        <v>19</v>
      </c>
      <c r="N31" s="539" t="s">
        <v>20</v>
      </c>
      <c r="O31" s="529"/>
      <c r="P31" s="521">
        <v>90</v>
      </c>
    </row>
    <row r="32" spans="2:27" s="513" customFormat="1" ht="14.25">
      <c r="B32" s="537" t="s">
        <v>21</v>
      </c>
      <c r="C32" s="536" t="s">
        <v>1618</v>
      </c>
      <c r="D32" s="530" t="s">
        <v>22</v>
      </c>
      <c r="E32" s="538">
        <f>$E$18*9.8*F32</f>
        <v>350.4549917612735</v>
      </c>
      <c r="F32" s="530">
        <f>SQRT((SQRT($E$19^2+$E$20^2)+$E$28*SIN($P$31*PI()/180))^2+($E$21+$E$26)^2)</f>
        <v>0.41859666914465532</v>
      </c>
      <c r="H32" s="533" t="s">
        <v>2366</v>
      </c>
      <c r="I32" s="533" t="s">
        <v>2162</v>
      </c>
      <c r="N32" s="533" t="s">
        <v>2163</v>
      </c>
    </row>
    <row r="33" spans="1:28" s="513" customFormat="1">
      <c r="B33" s="540"/>
      <c r="C33" s="536" t="s">
        <v>270</v>
      </c>
      <c r="D33" s="530" t="s">
        <v>2164</v>
      </c>
      <c r="E33" s="538">
        <f>$E$18*9.8*F33</f>
        <v>94.739579031654245</v>
      </c>
      <c r="F33" s="530">
        <f>SQRT($E$19^2+$E$20^2)</f>
        <v>0.11316052888706379</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34.892586333677698</v>
      </c>
      <c r="F36" s="530">
        <f>$E$18*$F31^2+MAX($E$22:$E$24)</f>
        <v>34.930315534325175</v>
      </c>
      <c r="G36" s="541" t="s">
        <v>2181</v>
      </c>
      <c r="H36" s="530">
        <f>$J$43</f>
        <v>34.892471545087623</v>
      </c>
      <c r="I36" s="530">
        <f>$J$89</f>
        <v>34.892586333677698</v>
      </c>
      <c r="J36" s="530">
        <f>$N$89</f>
        <v>-80.552062655585701</v>
      </c>
      <c r="K36" s="530">
        <f>$B$89</f>
        <v>90.151927234714591</v>
      </c>
    </row>
    <row r="37" spans="1:28" s="513" customFormat="1" ht="14.25">
      <c r="B37" s="537" t="s">
        <v>2182</v>
      </c>
      <c r="C37" s="536" t="s">
        <v>1618</v>
      </c>
      <c r="D37" s="530" t="s">
        <v>2180</v>
      </c>
      <c r="E37" s="538">
        <f>MAX(H37:I37)</f>
        <v>34.488284465767762</v>
      </c>
      <c r="F37" s="530">
        <f>$E$18*$F32^2+MAX($E$22:$E$23)</f>
        <v>34.930315534325175</v>
      </c>
      <c r="G37" s="530">
        <f>IF(E28=0,SQRT((E18*E19^2-E18*E20^2-E22+E23)^2/4+(E18*E19*E20)^2)+(E18*E19^2+E18*E20^2+E22+E23)/2+E18*(E21+E26)^2,"---")</f>
        <v>34.488284465767762</v>
      </c>
      <c r="H37" s="530">
        <f>$K$44</f>
        <v>34.471096608289898</v>
      </c>
      <c r="I37" s="530">
        <f>$K$90</f>
        <v>34.488284465767762</v>
      </c>
      <c r="J37" s="541" t="s">
        <v>2181</v>
      </c>
      <c r="K37" s="541">
        <f>$B$90</f>
        <v>1.8234357966033965</v>
      </c>
    </row>
    <row r="38" spans="1:28" s="513" customFormat="1">
      <c r="B38" s="540"/>
      <c r="C38" s="536" t="s">
        <v>270</v>
      </c>
      <c r="D38" s="530" t="s">
        <v>2180</v>
      </c>
      <c r="E38" s="538">
        <f>G38</f>
        <v>19.77095723160814</v>
      </c>
      <c r="F38" s="530">
        <f>$E$18*$F33^2+$E$24</f>
        <v>19.77095723160814</v>
      </c>
      <c r="G38" s="530">
        <f>$E$18*($E$19^2+$E$20^2)+$E$24</f>
        <v>19.77095723160814</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34.892471545087623</v>
      </c>
    </row>
    <row r="44" spans="1:28" s="513" customFormat="1" ht="14.25">
      <c r="B44" s="517" t="s">
        <v>2905</v>
      </c>
      <c r="I44" s="544" t="s">
        <v>2906</v>
      </c>
      <c r="J44" s="530">
        <f>MAX(J46:J70)</f>
        <v>34.892471545087623</v>
      </c>
      <c r="K44" s="530">
        <f>MAX(K46:K70)</f>
        <v>34.471096608289898</v>
      </c>
      <c r="L44" s="545">
        <f>MAX(L46:L70)</f>
        <v>34.471096608289898</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-8.6196999999999996E-2</v>
      </c>
      <c r="D46" s="530">
        <f t="shared" ref="D46:D70" si="3">$E$19*SIN(B46*PI()/180)+$E$20*COS(B46*PI()/180)</f>
        <v>7.3316999999999993E-2</v>
      </c>
      <c r="E46" s="530">
        <f t="shared" ref="E46:E70" si="4">$E$22*COS(B46*PI()/180)^2+$E$23*SIN(B46*PI()/180)^2</f>
        <v>3.1949999999999998</v>
      </c>
      <c r="F46" s="530">
        <f t="shared" ref="F46:F70" si="5">$E$22*SIN(B46*PI()/180)^2+$E$23*COS(B46*PI()/180)^2</f>
        <v>19.960999999999999</v>
      </c>
      <c r="G46" s="530">
        <f t="shared" ref="G46:G70" si="6">($E$18*(C46+$E$28)^2-$E$18*($E$21+$E$26)^2+$E$24-E46)/2</f>
        <v>1.1206900014279191</v>
      </c>
      <c r="H46" s="530">
        <f t="shared" ref="H46:H70" si="7">$E$18*(C46+$E$28)*($E$21+$E$26)</f>
        <v>-2.9676963150368101</v>
      </c>
      <c r="I46" s="530">
        <f t="shared" ref="I46:I70" si="8">$E$18*((C46+$E$28)^2+($E$21+$E$26)^2)/2+$E$18*(D46+$E$27)^2+($E$24+E46)/2</f>
        <v>18.650267230180219</v>
      </c>
      <c r="J46" s="530">
        <f>SQRT(G46^2+H46^2)+I46</f>
        <v>21.822516825906188</v>
      </c>
      <c r="K46" s="530">
        <f t="shared" ref="K46:K70" si="9">$E$18*((C46+$E$28)^2+($E$21+$E$26)^2)+F46</f>
        <v>34.471096608289898</v>
      </c>
      <c r="L46" s="556">
        <f t="shared" ref="L46:L70" si="10">$E$18*((D46+$E$28)^2+($E$21+$E$26)^2)+E46</f>
        <v>17.529577228752302</v>
      </c>
      <c r="M46" s="557"/>
      <c r="N46" s="526">
        <f>O53*180/PI()-INT(O53*180/PI()/360)*360</f>
        <v>1.8234357966033965</v>
      </c>
      <c r="O46" s="530">
        <f>INDEX($B46:$B72,MATCH(K44,K46:K70,0))</f>
        <v>0</v>
      </c>
      <c r="P46" s="530">
        <f>($E$18*$E$19^2-$E$18*$E$20^2+$E$23-$E$22)/2</f>
        <v>8.4707596897687996</v>
      </c>
      <c r="Q46" s="530">
        <f>-$E$18*$E$19*$E$20</f>
        <v>0.53989243650806995</v>
      </c>
      <c r="R46" s="558" t="s">
        <v>1320</v>
      </c>
      <c r="T46" s="559"/>
      <c r="U46" s="560" t="s">
        <v>1321</v>
      </c>
      <c r="V46" s="561"/>
      <c r="W46" s="561"/>
      <c r="X46" s="561"/>
      <c r="Y46" s="561"/>
      <c r="Z46" s="561"/>
      <c r="AA46" s="561"/>
      <c r="AB46" s="562"/>
    </row>
    <row r="47" spans="1:28" s="513" customFormat="1">
      <c r="A47" s="530">
        <f>A46+1</f>
        <v>1</v>
      </c>
      <c r="B47" s="530">
        <f>B46+15</f>
        <v>15</v>
      </c>
      <c r="C47" s="530">
        <f t="shared" si="2"/>
        <v>-0.10223574437842033</v>
      </c>
      <c r="D47" s="530">
        <f t="shared" si="3"/>
        <v>4.850935857533363E-2</v>
      </c>
      <c r="E47" s="530">
        <f t="shared" si="4"/>
        <v>4.3181090400750506</v>
      </c>
      <c r="F47" s="530">
        <f t="shared" si="5"/>
        <v>18.837890959924948</v>
      </c>
      <c r="G47" s="530">
        <f t="shared" si="6"/>
        <v>0.68822980601702177</v>
      </c>
      <c r="H47" s="530">
        <f t="shared" si="7"/>
        <v>-3.5198979298221897</v>
      </c>
      <c r="I47" s="530">
        <f t="shared" si="8"/>
        <v>19.082727425591116</v>
      </c>
      <c r="J47" s="530">
        <f t="shared" ref="J47:J70" si="11">SQRT(G47^2+H47^2)+I47</f>
        <v>22.669277537084998</v>
      </c>
      <c r="K47" s="530">
        <f t="shared" si="9"/>
        <v>33.606176217468104</v>
      </c>
      <c r="L47" s="556">
        <f t="shared" si="10"/>
        <v>18.394497619574096</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-0.11130729173000725</v>
      </c>
      <c r="D48" s="530">
        <f t="shared" si="3"/>
        <v>2.0395884529263698E-2</v>
      </c>
      <c r="E48" s="530">
        <f t="shared" si="4"/>
        <v>7.386499999999999</v>
      </c>
      <c r="F48" s="530">
        <f t="shared" si="5"/>
        <v>15.769500000000001</v>
      </c>
      <c r="G48" s="530">
        <f t="shared" si="6"/>
        <v>-0.76321963835074813</v>
      </c>
      <c r="H48" s="530">
        <f t="shared" si="7"/>
        <v>-3.8322243175965496</v>
      </c>
      <c r="I48" s="530">
        <f t="shared" si="8"/>
        <v>20.534176869958888</v>
      </c>
      <c r="J48" s="530">
        <f t="shared" si="11"/>
        <v>24.441662946292695</v>
      </c>
      <c r="K48" s="530">
        <f t="shared" si="9"/>
        <v>30.703277328732568</v>
      </c>
      <c r="L48" s="556">
        <f t="shared" si="10"/>
        <v>21.297396508309635</v>
      </c>
      <c r="M48" s="557"/>
      <c r="N48" s="530">
        <v>1</v>
      </c>
      <c r="O48" s="530">
        <f>O46*PI()/180</f>
        <v>0</v>
      </c>
      <c r="P48" s="530">
        <f t="shared" ref="P48:P53" si="14">-2*$P$46*SIN(2*O48)+2*$Q$46*COS(2*O48)+2*$E$18*$E$28*(-$E$19*SIN(O48)-$E$20*COS(O48))</f>
        <v>1.0797848730161399</v>
      </c>
      <c r="Q48" s="530">
        <f t="shared" ref="Q48:Q53" si="15">-4*$P$46*COS(2*O48)-4*$Q$46*SIN(2*O48)+2*$E$18*$E$28*(-$E$19*COS(O48)+$E$20*SIN(O48))</f>
        <v>-33.883038759075198</v>
      </c>
      <c r="R48" s="530">
        <f t="shared" ref="R48:R53" si="16">IF(Q48=0,O48,O48-P48/Q48)</f>
        <v>3.1868005720913431E-2</v>
      </c>
      <c r="T48" s="559"/>
      <c r="U48" s="560" t="s">
        <v>2383</v>
      </c>
      <c r="V48" s="561"/>
      <c r="W48" s="561"/>
      <c r="X48" s="561"/>
      <c r="Y48" s="561"/>
      <c r="Z48" s="561"/>
      <c r="AA48" s="561"/>
      <c r="AB48" s="562"/>
    </row>
    <row r="49" spans="1:28" s="513" customFormat="1">
      <c r="A49" s="530">
        <f t="shared" si="12"/>
        <v>3</v>
      </c>
      <c r="B49" s="530">
        <f t="shared" si="13"/>
        <v>45</v>
      </c>
      <c r="C49" s="530">
        <f t="shared" si="2"/>
        <v>-0.11279343109419093</v>
      </c>
      <c r="D49" s="530">
        <f t="shared" si="3"/>
        <v>-9.1075353416827237E-3</v>
      </c>
      <c r="E49" s="530">
        <f t="shared" si="4"/>
        <v>11.577999999999998</v>
      </c>
      <c r="F49" s="530">
        <f t="shared" si="5"/>
        <v>11.578000000000001</v>
      </c>
      <c r="G49" s="530">
        <f t="shared" si="6"/>
        <v>-2.8447436252024447</v>
      </c>
      <c r="H49" s="530">
        <f t="shared" si="7"/>
        <v>-3.8833909511768252</v>
      </c>
      <c r="I49" s="530">
        <f t="shared" si="8"/>
        <v>22.615700856810584</v>
      </c>
      <c r="J49" s="530">
        <f t="shared" si="11"/>
        <v>27.429565372229771</v>
      </c>
      <c r="K49" s="530">
        <f t="shared" si="9"/>
        <v>26.540229355029172</v>
      </c>
      <c r="L49" s="556">
        <f t="shared" si="10"/>
        <v>25.460444482013031</v>
      </c>
      <c r="M49" s="557"/>
      <c r="N49" s="530">
        <f>N48+1</f>
        <v>2</v>
      </c>
      <c r="O49" s="530">
        <f>R48</f>
        <v>3.1868005720913431E-2</v>
      </c>
      <c r="P49" s="530">
        <f t="shared" si="14"/>
        <v>-1.4615353221418825E-3</v>
      </c>
      <c r="Q49" s="530">
        <f t="shared" si="15"/>
        <v>-33.951790063156146</v>
      </c>
      <c r="R49" s="530">
        <f t="shared" si="16"/>
        <v>3.1824958349348537E-2</v>
      </c>
      <c r="T49" s="559"/>
      <c r="U49" s="560" t="s">
        <v>2384</v>
      </c>
      <c r="V49" s="561"/>
      <c r="W49" s="561"/>
      <c r="X49" s="561" t="s">
        <v>2385</v>
      </c>
      <c r="Y49" s="561"/>
      <c r="Z49" s="561"/>
      <c r="AA49" s="561"/>
      <c r="AB49" s="562"/>
    </row>
    <row r="50" spans="1:28" s="513" customFormat="1">
      <c r="A50" s="530">
        <f t="shared" si="12"/>
        <v>4</v>
      </c>
      <c r="B50" s="530">
        <f t="shared" si="13"/>
        <v>60</v>
      </c>
      <c r="C50" s="530">
        <f t="shared" si="2"/>
        <v>-0.10659288452926369</v>
      </c>
      <c r="D50" s="530">
        <f t="shared" si="3"/>
        <v>-3.7990291730007252E-2</v>
      </c>
      <c r="E50" s="530">
        <f t="shared" si="4"/>
        <v>15.769499999999997</v>
      </c>
      <c r="F50" s="530">
        <f t="shared" si="5"/>
        <v>7.3865000000000007</v>
      </c>
      <c r="G50" s="530">
        <f t="shared" si="6"/>
        <v>-4.9985994832351466</v>
      </c>
      <c r="H50" s="530">
        <f t="shared" si="7"/>
        <v>-3.6699109090413828</v>
      </c>
      <c r="I50" s="530">
        <f t="shared" si="8"/>
        <v>24.76955671484329</v>
      </c>
      <c r="J50" s="530">
        <f t="shared" si="11"/>
        <v>30.970705227344794</v>
      </c>
      <c r="K50" s="530">
        <f t="shared" si="9"/>
        <v>22.23251763896377</v>
      </c>
      <c r="L50" s="556">
        <f t="shared" si="10"/>
        <v>29.768156198078433</v>
      </c>
      <c r="M50" s="557"/>
      <c r="N50" s="530">
        <f>N49+1</f>
        <v>3</v>
      </c>
      <c r="O50" s="530">
        <f>R49</f>
        <v>3.1824958349348537E-2</v>
      </c>
      <c r="P50" s="530">
        <f t="shared" si="14"/>
        <v>3.6113334545007092E-12</v>
      </c>
      <c r="Q50" s="530">
        <f t="shared" si="15"/>
        <v>-33.951790188986649</v>
      </c>
      <c r="R50" s="530">
        <f t="shared" si="16"/>
        <v>3.1824958349454903E-2</v>
      </c>
      <c r="T50" s="559"/>
      <c r="U50" s="560" t="s">
        <v>2386</v>
      </c>
      <c r="V50" s="561"/>
      <c r="W50" s="561"/>
      <c r="X50" s="561"/>
      <c r="Y50" s="561"/>
      <c r="Z50" s="561" t="s">
        <v>2387</v>
      </c>
      <c r="AA50" s="561"/>
      <c r="AB50" s="562"/>
    </row>
    <row r="51" spans="1:28" s="513" customFormat="1">
      <c r="A51" s="530">
        <f t="shared" si="12"/>
        <v>5</v>
      </c>
      <c r="B51" s="530">
        <f t="shared" si="13"/>
        <v>75</v>
      </c>
      <c r="C51" s="530">
        <f t="shared" si="2"/>
        <v>-9.3128209036737589E-2</v>
      </c>
      <c r="D51" s="530">
        <f t="shared" si="3"/>
        <v>-6.4284072518857302E-2</v>
      </c>
      <c r="E51" s="530">
        <f t="shared" si="4"/>
        <v>18.837890959924948</v>
      </c>
      <c r="F51" s="530">
        <f t="shared" si="5"/>
        <v>4.3181090400750506</v>
      </c>
      <c r="G51" s="530">
        <f t="shared" si="6"/>
        <v>-6.6476632746759492</v>
      </c>
      <c r="H51" s="530">
        <f t="shared" si="7"/>
        <v>-3.2063325032693006</v>
      </c>
      <c r="I51" s="530">
        <f t="shared" si="8"/>
        <v>26.418620506284089</v>
      </c>
      <c r="J51" s="530">
        <f t="shared" si="11"/>
        <v>33.799135063887547</v>
      </c>
      <c r="K51" s="530">
        <f t="shared" si="9"/>
        <v>18.934390056082165</v>
      </c>
      <c r="L51" s="556">
        <f t="shared" si="10"/>
        <v>33.066283780960035</v>
      </c>
      <c r="M51" s="557"/>
      <c r="N51" s="530">
        <f>N50+1</f>
        <v>4</v>
      </c>
      <c r="O51" s="530">
        <f>R50</f>
        <v>3.1824958349454903E-2</v>
      </c>
      <c r="P51" s="530">
        <f t="shared" si="14"/>
        <v>0</v>
      </c>
      <c r="Q51" s="530">
        <f t="shared" si="15"/>
        <v>-33.951790188986649</v>
      </c>
      <c r="R51" s="530">
        <f t="shared" si="16"/>
        <v>3.1824958349454903E-2</v>
      </c>
      <c r="T51" s="564"/>
      <c r="U51" s="565" t="s">
        <v>2388</v>
      </c>
      <c r="V51" s="566"/>
      <c r="W51" s="566"/>
      <c r="X51" s="566"/>
      <c r="Y51" s="566"/>
      <c r="Z51" s="566"/>
      <c r="AA51" s="566"/>
      <c r="AB51" s="567"/>
    </row>
    <row r="52" spans="1:28" s="513" customFormat="1">
      <c r="A52" s="530">
        <f t="shared" si="12"/>
        <v>6</v>
      </c>
      <c r="B52" s="530">
        <f t="shared" si="13"/>
        <v>90</v>
      </c>
      <c r="C52" s="530">
        <f t="shared" si="2"/>
        <v>-7.3316999999999993E-2</v>
      </c>
      <c r="D52" s="530">
        <f t="shared" si="3"/>
        <v>-8.6196999999999996E-2</v>
      </c>
      <c r="E52" s="530">
        <f t="shared" si="4"/>
        <v>19.960999999999999</v>
      </c>
      <c r="F52" s="530">
        <f t="shared" si="5"/>
        <v>3.1949999999999998</v>
      </c>
      <c r="G52" s="530">
        <f t="shared" si="6"/>
        <v>-7.3500696883408807</v>
      </c>
      <c r="H52" s="530">
        <f t="shared" si="7"/>
        <v>-2.5242478361144101</v>
      </c>
      <c r="I52" s="530">
        <f t="shared" si="8"/>
        <v>27.121026919949021</v>
      </c>
      <c r="J52" s="530">
        <f t="shared" si="11"/>
        <v>34.892471545087623</v>
      </c>
      <c r="K52" s="530">
        <f t="shared" si="9"/>
        <v>17.529577228752302</v>
      </c>
      <c r="L52" s="556">
        <f t="shared" si="10"/>
        <v>34.471096608289898</v>
      </c>
      <c r="M52" s="557"/>
      <c r="N52" s="530">
        <f>N51+1</f>
        <v>5</v>
      </c>
      <c r="O52" s="530">
        <f>R51</f>
        <v>3.1824958349454903E-2</v>
      </c>
      <c r="P52" s="530">
        <f t="shared" si="14"/>
        <v>0</v>
      </c>
      <c r="Q52" s="530">
        <f t="shared" si="15"/>
        <v>-33.951790188986649</v>
      </c>
      <c r="R52" s="530">
        <f t="shared" si="16"/>
        <v>3.1824958349454903E-2</v>
      </c>
      <c r="T52" s="552" t="s">
        <v>2055</v>
      </c>
      <c r="U52" s="553" t="s">
        <v>2056</v>
      </c>
      <c r="V52" s="554"/>
      <c r="W52" s="554"/>
      <c r="X52" s="554"/>
      <c r="Y52" s="554"/>
      <c r="Z52" s="554"/>
      <c r="AA52" s="554"/>
      <c r="AB52" s="555"/>
    </row>
    <row r="53" spans="1:28" s="513" customFormat="1">
      <c r="A53" s="530">
        <f t="shared" si="12"/>
        <v>7</v>
      </c>
      <c r="B53" s="530">
        <f t="shared" si="13"/>
        <v>105</v>
      </c>
      <c r="C53" s="530">
        <f t="shared" si="2"/>
        <v>-4.8509358575333617E-2</v>
      </c>
      <c r="D53" s="530">
        <f t="shared" si="3"/>
        <v>-0.10223574437842034</v>
      </c>
      <c r="E53" s="530">
        <f t="shared" si="4"/>
        <v>18.837890959924952</v>
      </c>
      <c r="F53" s="530">
        <f t="shared" si="5"/>
        <v>4.3181090400750515</v>
      </c>
      <c r="G53" s="530">
        <f t="shared" si="6"/>
        <v>-6.9176094929299854</v>
      </c>
      <c r="H53" s="530">
        <f t="shared" si="7"/>
        <v>-1.670139850445107</v>
      </c>
      <c r="I53" s="530">
        <f t="shared" si="8"/>
        <v>26.688566724538127</v>
      </c>
      <c r="J53" s="530">
        <f t="shared" si="11"/>
        <v>33.804934352529237</v>
      </c>
      <c r="K53" s="530">
        <f t="shared" si="9"/>
        <v>18.394497619574096</v>
      </c>
      <c r="L53" s="556">
        <f t="shared" si="10"/>
        <v>33.606176217468111</v>
      </c>
      <c r="M53" s="557"/>
      <c r="N53" s="530">
        <f>N52+1</f>
        <v>6</v>
      </c>
      <c r="O53" s="530">
        <f>R52</f>
        <v>3.1824958349454903E-2</v>
      </c>
      <c r="P53" s="530">
        <f t="shared" si="14"/>
        <v>0</v>
      </c>
      <c r="Q53" s="530">
        <f t="shared" si="15"/>
        <v>-33.951790188986649</v>
      </c>
      <c r="R53" s="530">
        <f t="shared" si="16"/>
        <v>3.1824958349454903E-2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-2.0395884529263712E-2</v>
      </c>
      <c r="D54" s="530">
        <f t="shared" si="3"/>
        <v>-0.11130729173000724</v>
      </c>
      <c r="E54" s="530">
        <f t="shared" si="4"/>
        <v>15.769500000000001</v>
      </c>
      <c r="F54" s="530">
        <f t="shared" si="5"/>
        <v>7.3864999999999954</v>
      </c>
      <c r="G54" s="530">
        <f t="shared" si="6"/>
        <v>-5.4661600485622142</v>
      </c>
      <c r="H54" s="530">
        <f t="shared" si="7"/>
        <v>-0.70221459400457331</v>
      </c>
      <c r="I54" s="530">
        <f t="shared" si="8"/>
        <v>25.237117280170352</v>
      </c>
      <c r="J54" s="530">
        <f t="shared" si="11"/>
        <v>30.748198028311378</v>
      </c>
      <c r="K54" s="530">
        <f t="shared" si="9"/>
        <v>21.297396508309632</v>
      </c>
      <c r="L54" s="556">
        <f t="shared" si="10"/>
        <v>30.703277328732568</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9.1075353416827237E-3</v>
      </c>
      <c r="D55" s="530">
        <f t="shared" si="3"/>
        <v>-0.11279343109419093</v>
      </c>
      <c r="E55" s="530">
        <f t="shared" si="4"/>
        <v>11.578000000000001</v>
      </c>
      <c r="F55" s="530">
        <f t="shared" si="5"/>
        <v>11.577999999999998</v>
      </c>
      <c r="G55" s="530">
        <f t="shared" si="6"/>
        <v>-3.3846360617105171</v>
      </c>
      <c r="H55" s="530">
        <f t="shared" si="7"/>
        <v>0.3135654265528886</v>
      </c>
      <c r="I55" s="530">
        <f t="shared" si="8"/>
        <v>23.155593293318656</v>
      </c>
      <c r="J55" s="530">
        <f t="shared" si="11"/>
        <v>26.55472326243731</v>
      </c>
      <c r="K55" s="530">
        <f t="shared" si="9"/>
        <v>25.460444482013031</v>
      </c>
      <c r="L55" s="556">
        <f t="shared" si="10"/>
        <v>26.540229355029172</v>
      </c>
      <c r="M55" s="557"/>
      <c r="T55" s="559"/>
      <c r="U55" s="560" t="s">
        <v>2062</v>
      </c>
      <c r="V55" s="561"/>
      <c r="W55" s="561"/>
      <c r="X55" s="561"/>
      <c r="Y55" s="561"/>
      <c r="Z55" s="561"/>
      <c r="AA55" s="561"/>
      <c r="AB55" s="562"/>
    </row>
    <row r="56" spans="1:28" s="513" customFormat="1">
      <c r="A56" s="530">
        <f t="shared" si="12"/>
        <v>10</v>
      </c>
      <c r="B56" s="530">
        <f t="shared" si="13"/>
        <v>150</v>
      </c>
      <c r="C56" s="530">
        <f t="shared" si="2"/>
        <v>3.7990291730007265E-2</v>
      </c>
      <c r="D56" s="530">
        <f t="shared" si="3"/>
        <v>-0.10659288452926369</v>
      </c>
      <c r="E56" s="530">
        <f t="shared" si="4"/>
        <v>7.386499999999999</v>
      </c>
      <c r="F56" s="530">
        <f t="shared" si="5"/>
        <v>15.769500000000001</v>
      </c>
      <c r="G56" s="530">
        <f t="shared" si="6"/>
        <v>-1.2307802036778139</v>
      </c>
      <c r="H56" s="530">
        <f t="shared" si="7"/>
        <v>1.3079764814821395</v>
      </c>
      <c r="I56" s="530">
        <f t="shared" si="8"/>
        <v>21.001737435285953</v>
      </c>
      <c r="J56" s="530">
        <f>SQRT(G56^2+H56^2)+I56</f>
        <v>22.797739213090082</v>
      </c>
      <c r="K56" s="530">
        <f t="shared" si="9"/>
        <v>29.768156198078437</v>
      </c>
      <c r="L56" s="556">
        <f t="shared" si="10"/>
        <v>22.232517638963767</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6.4284072518857288E-2</v>
      </c>
      <c r="D57" s="530">
        <f t="shared" si="3"/>
        <v>-9.3128209036737616E-2</v>
      </c>
      <c r="E57" s="530">
        <f t="shared" si="4"/>
        <v>4.3181090400750524</v>
      </c>
      <c r="F57" s="530">
        <f t="shared" si="5"/>
        <v>18.837890959924948</v>
      </c>
      <c r="G57" s="530">
        <f t="shared" si="6"/>
        <v>0.41828358776298558</v>
      </c>
      <c r="H57" s="530">
        <f t="shared" si="7"/>
        <v>2.2132511007317173</v>
      </c>
      <c r="I57" s="530">
        <f t="shared" si="8"/>
        <v>19.352673643845154</v>
      </c>
      <c r="J57" s="530">
        <f t="shared" si="11"/>
        <v>21.605103796964677</v>
      </c>
      <c r="K57" s="530">
        <f t="shared" si="9"/>
        <v>33.066283780960035</v>
      </c>
      <c r="L57" s="556">
        <f t="shared" si="10"/>
        <v>18.934390056082165</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8.6196999999999982E-2</v>
      </c>
      <c r="D58" s="530">
        <f t="shared" si="3"/>
        <v>-7.3317000000000007E-2</v>
      </c>
      <c r="E58" s="530">
        <f t="shared" si="4"/>
        <v>3.1949999999999998</v>
      </c>
      <c r="F58" s="530">
        <f t="shared" si="5"/>
        <v>19.960999999999999</v>
      </c>
      <c r="G58" s="530">
        <f t="shared" si="6"/>
        <v>1.1206900014279191</v>
      </c>
      <c r="H58" s="530">
        <f t="shared" si="7"/>
        <v>2.9676963150368096</v>
      </c>
      <c r="I58" s="530">
        <f t="shared" si="8"/>
        <v>18.650267230180219</v>
      </c>
      <c r="J58" s="530">
        <f t="shared" si="11"/>
        <v>21.822516825906188</v>
      </c>
      <c r="K58" s="530">
        <f t="shared" si="9"/>
        <v>34.471096608289898</v>
      </c>
      <c r="L58" s="556">
        <f t="shared" si="10"/>
        <v>17.529577228752302</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0.10223574437842031</v>
      </c>
      <c r="D59" s="530">
        <f t="shared" si="3"/>
        <v>-4.8509358575333679E-2</v>
      </c>
      <c r="E59" s="530">
        <f t="shared" si="4"/>
        <v>4.318109040075047</v>
      </c>
      <c r="F59" s="530">
        <f t="shared" si="5"/>
        <v>18.837890959924952</v>
      </c>
      <c r="G59" s="530">
        <f t="shared" si="6"/>
        <v>0.68822980601702355</v>
      </c>
      <c r="H59" s="530">
        <f t="shared" si="7"/>
        <v>3.5198979298221889</v>
      </c>
      <c r="I59" s="530">
        <f t="shared" si="8"/>
        <v>19.082727425591116</v>
      </c>
      <c r="J59" s="530">
        <f t="shared" si="11"/>
        <v>22.669277537084994</v>
      </c>
      <c r="K59" s="530">
        <f t="shared" si="9"/>
        <v>33.606176217468111</v>
      </c>
      <c r="L59" s="556">
        <f t="shared" si="10"/>
        <v>18.394497619574093</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0.11130729173000725</v>
      </c>
      <c r="D60" s="530">
        <f t="shared" si="3"/>
        <v>-2.0395884529263671E-2</v>
      </c>
      <c r="E60" s="530">
        <f t="shared" si="4"/>
        <v>7.3865000000000007</v>
      </c>
      <c r="F60" s="530">
        <f t="shared" si="5"/>
        <v>15.769499999999997</v>
      </c>
      <c r="G60" s="530">
        <f t="shared" si="6"/>
        <v>-0.76321963835074902</v>
      </c>
      <c r="H60" s="530">
        <f t="shared" si="7"/>
        <v>3.8322243175965496</v>
      </c>
      <c r="I60" s="530">
        <f t="shared" si="8"/>
        <v>20.534176869958888</v>
      </c>
      <c r="J60" s="530">
        <f t="shared" si="11"/>
        <v>24.441662946292695</v>
      </c>
      <c r="K60" s="530">
        <f t="shared" si="9"/>
        <v>30.703277328732565</v>
      </c>
      <c r="L60" s="556">
        <f t="shared" si="10"/>
        <v>21.297396508309639</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0.11279343109419095</v>
      </c>
      <c r="D61" s="530">
        <f t="shared" si="3"/>
        <v>9.1075353416827168E-3</v>
      </c>
      <c r="E61" s="530">
        <f t="shared" si="4"/>
        <v>11.577999999999998</v>
      </c>
      <c r="F61" s="530">
        <f t="shared" si="5"/>
        <v>11.578000000000003</v>
      </c>
      <c r="G61" s="530">
        <f t="shared" si="6"/>
        <v>-2.8447436252024447</v>
      </c>
      <c r="H61" s="530">
        <f t="shared" si="7"/>
        <v>3.8833909511768256</v>
      </c>
      <c r="I61" s="530">
        <f t="shared" si="8"/>
        <v>22.615700856810584</v>
      </c>
      <c r="J61" s="530">
        <f t="shared" si="11"/>
        <v>27.429565372229771</v>
      </c>
      <c r="K61" s="530">
        <f t="shared" si="9"/>
        <v>26.540229355029176</v>
      </c>
      <c r="L61" s="556">
        <f t="shared" si="10"/>
        <v>25.460444482013031</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0.1065928845292637</v>
      </c>
      <c r="D62" s="530">
        <f t="shared" si="3"/>
        <v>3.7990291730007196E-2</v>
      </c>
      <c r="E62" s="530">
        <f t="shared" si="4"/>
        <v>15.769499999999992</v>
      </c>
      <c r="F62" s="530">
        <f t="shared" si="5"/>
        <v>7.3865000000000069</v>
      </c>
      <c r="G62" s="530">
        <f t="shared" si="6"/>
        <v>-4.9985994832351439</v>
      </c>
      <c r="H62" s="530">
        <f t="shared" si="7"/>
        <v>3.6699109090413833</v>
      </c>
      <c r="I62" s="530">
        <f t="shared" si="8"/>
        <v>24.769556714843283</v>
      </c>
      <c r="J62" s="530">
        <f t="shared" si="11"/>
        <v>30.970705227344787</v>
      </c>
      <c r="K62" s="530">
        <f t="shared" si="9"/>
        <v>22.232517638963778</v>
      </c>
      <c r="L62" s="556">
        <f t="shared" si="10"/>
        <v>29.768156198078429</v>
      </c>
      <c r="M62" s="557"/>
      <c r="N62" s="550" t="s">
        <v>1313</v>
      </c>
      <c r="O62" s="550" t="s">
        <v>1314</v>
      </c>
      <c r="P62" s="549"/>
      <c r="Q62" s="570"/>
      <c r="R62" s="570"/>
      <c r="S62" s="570"/>
    </row>
    <row r="63" spans="1:28" s="513" customFormat="1" ht="14.25">
      <c r="A63" s="530">
        <f t="shared" si="12"/>
        <v>17</v>
      </c>
      <c r="B63" s="530">
        <f t="shared" si="13"/>
        <v>255</v>
      </c>
      <c r="C63" s="530">
        <f t="shared" si="2"/>
        <v>9.3128209036737575E-2</v>
      </c>
      <c r="D63" s="530">
        <f t="shared" si="3"/>
        <v>6.4284072518857316E-2</v>
      </c>
      <c r="E63" s="530">
        <f t="shared" si="4"/>
        <v>18.837890959924948</v>
      </c>
      <c r="F63" s="530">
        <f t="shared" si="5"/>
        <v>4.3181090400750497</v>
      </c>
      <c r="G63" s="530">
        <f t="shared" si="6"/>
        <v>-6.6476632746759492</v>
      </c>
      <c r="H63" s="530">
        <f t="shared" si="7"/>
        <v>3.2063325032693002</v>
      </c>
      <c r="I63" s="530">
        <f t="shared" si="8"/>
        <v>26.418620506284089</v>
      </c>
      <c r="J63" s="530">
        <f t="shared" si="11"/>
        <v>33.799135063887547</v>
      </c>
      <c r="K63" s="530">
        <f t="shared" si="9"/>
        <v>18.934390056082165</v>
      </c>
      <c r="L63" s="556">
        <f t="shared" si="10"/>
        <v>33.066283780960035</v>
      </c>
      <c r="M63" s="557"/>
      <c r="N63" s="526">
        <f>O70*180/PI()-INT(O70*180/PI()/360)*360</f>
        <v>90.151927234714591</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7.3317000000000007E-2</v>
      </c>
      <c r="D64" s="530">
        <f t="shared" si="3"/>
        <v>8.6196999999999982E-2</v>
      </c>
      <c r="E64" s="530">
        <f t="shared" si="4"/>
        <v>19.960999999999999</v>
      </c>
      <c r="F64" s="530">
        <f t="shared" si="5"/>
        <v>3.1949999999999998</v>
      </c>
      <c r="G64" s="530">
        <f t="shared" si="6"/>
        <v>-7.3500696883408807</v>
      </c>
      <c r="H64" s="530">
        <f t="shared" si="7"/>
        <v>2.5242478361144105</v>
      </c>
      <c r="I64" s="530">
        <f t="shared" si="8"/>
        <v>27.121026919949021</v>
      </c>
      <c r="J64" s="530">
        <f t="shared" si="11"/>
        <v>34.892471545087623</v>
      </c>
      <c r="K64" s="530">
        <f t="shared" si="9"/>
        <v>17.529577228752302</v>
      </c>
      <c r="L64" s="556">
        <f t="shared" si="10"/>
        <v>34.471096608289898</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4.8509358575333596E-2</v>
      </c>
      <c r="D65" s="530">
        <f t="shared" si="3"/>
        <v>0.10223574437842035</v>
      </c>
      <c r="E65" s="530">
        <f t="shared" si="4"/>
        <v>18.837890959924948</v>
      </c>
      <c r="F65" s="530">
        <f t="shared" si="5"/>
        <v>4.3181090400750541</v>
      </c>
      <c r="G65" s="530">
        <f t="shared" si="6"/>
        <v>-6.9176094929299845</v>
      </c>
      <c r="H65" s="530">
        <f t="shared" si="7"/>
        <v>1.6701398504451062</v>
      </c>
      <c r="I65" s="530">
        <f t="shared" si="8"/>
        <v>26.688566724538124</v>
      </c>
      <c r="J65" s="530">
        <f t="shared" si="11"/>
        <v>33.804934352529237</v>
      </c>
      <c r="K65" s="530">
        <f t="shared" si="9"/>
        <v>18.3944976195741</v>
      </c>
      <c r="L65" s="556">
        <f t="shared" si="10"/>
        <v>33.606176217468104</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-7.3500696883408807</v>
      </c>
      <c r="S65" s="530">
        <f t="shared" ref="S65:S70" si="20">$E$18*($E$19*Q65-$E$20*P65+$E$28)*(-$E$19*P65-$E$20*Q65)-($E$23-$E$22)*P65*Q65</f>
        <v>-0.53989243650807095</v>
      </c>
      <c r="T65" s="530">
        <f t="shared" ref="T65:T70" si="21">$E$18*(-$E$19*P65-$E$20*Q65)^2+$E$18*($E$19*Q65-$E$20*P65+$E$28)*(-$E$19*Q65+$E$20*P65)-($E$23-$E$22)*(Q65^2-P65^2)</f>
        <v>16.941519379537599</v>
      </c>
      <c r="U65" s="530">
        <f t="shared" ref="U65:U70" si="22">$E$18*($E$19*Q65-$E$20*P65+$E$28)*($E$21+$E$26)</f>
        <v>-2.5242478361144101</v>
      </c>
      <c r="V65" s="530">
        <f t="shared" ref="V65:V70" si="23">$E$18*($E$21+$E$26)*(-$E$19*P65-$E$20*Q65)</f>
        <v>2.9676963150368101</v>
      </c>
      <c r="W65" s="530">
        <f t="shared" ref="W65:W70" si="24">$E$18*($E$21+$E$26)*(-$E$19*Q65+$E$20*P65)</f>
        <v>2.5242478361144101</v>
      </c>
      <c r="X65" s="530">
        <f t="shared" ref="X65:X70" si="25">S65+2*($E$23-$E$22)*P65*Q65+2*$E$18*($E$19*P65+$E$20*Q65+$E$27)*($E$19*Q65-$E$20*P65)</f>
        <v>0.53989243650807106</v>
      </c>
      <c r="Y65" s="530">
        <f t="shared" ref="Y65:Y70" si="26">T65+2*($E$23-$E$22)*(Q65^2-P65^2)+2*$E$18*($E$19*Q65-$E$20*P65)^2+2*$E$18*($E$19*P65+$E$20*Q65+$E$27)*(-$E$19*P65-$E$20*Q65)</f>
        <v>-16.941519379537599</v>
      </c>
      <c r="Z65" s="530">
        <f t="shared" ref="Z65:Z70" si="27">IF(OR(R65,U65),(R65^2+U65^2)^(-0.5)*(R65*S65+U65*V65)+X65,0)</f>
        <v>8.6572090180431993E-2</v>
      </c>
      <c r="AA65" s="530">
        <f t="shared" ref="AA65:AA70" si="28">IF(OR(R65,U65),(-1)*(R65^2+U65^2)^(-1.5)*(R65*S65+U65*V65)^2+(R65^2+U65^2)^(-0.5)*(S65^2+R65*T65+V65^2+U65*W65)+Y65,0)</f>
        <v>-32.640012409338254</v>
      </c>
      <c r="AB65" s="530">
        <f t="shared" ref="AB65:AB70" si="29">IF(AA65=0,O65,O65-Z65/AA65)</f>
        <v>1.5734486569807657</v>
      </c>
    </row>
    <row r="66" spans="1:28" s="513" customFormat="1">
      <c r="A66" s="530">
        <f t="shared" si="12"/>
        <v>20</v>
      </c>
      <c r="B66" s="530">
        <f t="shared" si="13"/>
        <v>300</v>
      </c>
      <c r="C66" s="530">
        <f t="shared" si="2"/>
        <v>2.0395884529263671E-2</v>
      </c>
      <c r="D66" s="530">
        <f t="shared" si="3"/>
        <v>0.11130729173000725</v>
      </c>
      <c r="E66" s="530">
        <f t="shared" si="4"/>
        <v>15.769499999999997</v>
      </c>
      <c r="F66" s="530">
        <f t="shared" si="5"/>
        <v>7.3865000000000007</v>
      </c>
      <c r="G66" s="530">
        <f t="shared" si="6"/>
        <v>-5.4661600485622124</v>
      </c>
      <c r="H66" s="530">
        <f t="shared" si="7"/>
        <v>0.70221459400457187</v>
      </c>
      <c r="I66" s="530">
        <f t="shared" si="8"/>
        <v>25.237117280170352</v>
      </c>
      <c r="J66" s="530">
        <f t="shared" si="11"/>
        <v>30.748198028311378</v>
      </c>
      <c r="K66" s="530">
        <f t="shared" si="9"/>
        <v>21.297396508309639</v>
      </c>
      <c r="L66" s="556">
        <f t="shared" si="10"/>
        <v>30.703277328732565</v>
      </c>
      <c r="M66" s="557"/>
      <c r="N66" s="530">
        <f>N65+1</f>
        <v>2</v>
      </c>
      <c r="O66" s="530">
        <f>AB65</f>
        <v>1.5734486569807657</v>
      </c>
      <c r="P66" s="530">
        <f t="shared" si="17"/>
        <v>0.99999648257435458</v>
      </c>
      <c r="Q66" s="530">
        <f t="shared" si="18"/>
        <v>-2.6523270760769936E-3</v>
      </c>
      <c r="R66" s="530">
        <f t="shared" si="19"/>
        <v>-7.3514420642016134</v>
      </c>
      <c r="S66" s="530">
        <f t="shared" si="20"/>
        <v>-0.49495054788877979</v>
      </c>
      <c r="T66" s="530">
        <f t="shared" si="21"/>
        <v>16.947008882980526</v>
      </c>
      <c r="U66" s="530">
        <f t="shared" si="22"/>
        <v>-2.5163676559703898</v>
      </c>
      <c r="V66" s="530">
        <f t="shared" si="23"/>
        <v>2.9743810072681387</v>
      </c>
      <c r="W66" s="530">
        <f t="shared" si="24"/>
        <v>2.5163676559703898</v>
      </c>
      <c r="X66" s="530">
        <f t="shared" si="25"/>
        <v>0.49495054788877979</v>
      </c>
      <c r="Y66" s="530">
        <f t="shared" si="26"/>
        <v>-16.947008882980526</v>
      </c>
      <c r="Z66" s="530">
        <f t="shared" si="27"/>
        <v>-2.2850696517251468E-5</v>
      </c>
      <c r="AA66" s="530">
        <f t="shared" si="28"/>
        <v>-32.657073491982516</v>
      </c>
      <c r="AB66" s="530">
        <f t="shared" si="29"/>
        <v>1.5734479572641631</v>
      </c>
    </row>
    <row r="67" spans="1:28" s="513" customFormat="1">
      <c r="A67" s="530">
        <f t="shared" si="12"/>
        <v>21</v>
      </c>
      <c r="B67" s="530">
        <f t="shared" si="13"/>
        <v>315</v>
      </c>
      <c r="C67" s="530">
        <f t="shared" si="2"/>
        <v>-9.1075353416827098E-3</v>
      </c>
      <c r="D67" s="530">
        <f t="shared" si="3"/>
        <v>0.11279343109419093</v>
      </c>
      <c r="E67" s="530">
        <f t="shared" si="4"/>
        <v>11.578000000000003</v>
      </c>
      <c r="F67" s="530">
        <f t="shared" si="5"/>
        <v>11.577999999999996</v>
      </c>
      <c r="G67" s="530">
        <f t="shared" si="6"/>
        <v>-3.384636061710518</v>
      </c>
      <c r="H67" s="530">
        <f t="shared" si="7"/>
        <v>-0.3135654265528881</v>
      </c>
      <c r="I67" s="530">
        <f t="shared" si="8"/>
        <v>23.155593293318656</v>
      </c>
      <c r="J67" s="530">
        <f t="shared" si="11"/>
        <v>26.55472326243731</v>
      </c>
      <c r="K67" s="530">
        <f t="shared" si="9"/>
        <v>25.460444482013028</v>
      </c>
      <c r="L67" s="556">
        <f t="shared" si="10"/>
        <v>26.540229355029176</v>
      </c>
      <c r="M67" s="557"/>
      <c r="N67" s="530">
        <f>N66+1</f>
        <v>3</v>
      </c>
      <c r="O67" s="530">
        <f>AB66</f>
        <v>1.5734479572641631</v>
      </c>
      <c r="P67" s="530">
        <f t="shared" si="17"/>
        <v>0.99999648442998712</v>
      </c>
      <c r="Q67" s="530">
        <f t="shared" si="18"/>
        <v>-2.6516273619348867E-3</v>
      </c>
      <c r="R67" s="530">
        <f t="shared" si="19"/>
        <v>-7.3514417178723495</v>
      </c>
      <c r="S67" s="530">
        <f t="shared" si="20"/>
        <v>-0.49496240599177582</v>
      </c>
      <c r="T67" s="530">
        <f t="shared" si="21"/>
        <v>16.947007497663471</v>
      </c>
      <c r="U67" s="530">
        <f t="shared" si="22"/>
        <v>-2.5163697371935472</v>
      </c>
      <c r="V67" s="530">
        <f t="shared" si="23"/>
        <v>2.9743792465231835</v>
      </c>
      <c r="W67" s="530">
        <f t="shared" si="24"/>
        <v>2.5163697371935472</v>
      </c>
      <c r="X67" s="530">
        <f t="shared" si="25"/>
        <v>0.49496240599177588</v>
      </c>
      <c r="Y67" s="530">
        <f t="shared" si="26"/>
        <v>-16.947007497663471</v>
      </c>
      <c r="Z67" s="530">
        <f t="shared" si="27"/>
        <v>-1.5286105714551468E-12</v>
      </c>
      <c r="AA67" s="530">
        <f t="shared" si="28"/>
        <v>-32.657069125237442</v>
      </c>
      <c r="AB67" s="530">
        <f t="shared" si="29"/>
        <v>1.5734479572641162</v>
      </c>
    </row>
    <row r="68" spans="1:28" s="513" customFormat="1">
      <c r="A68" s="530">
        <f t="shared" si="12"/>
        <v>22</v>
      </c>
      <c r="B68" s="530">
        <f t="shared" si="13"/>
        <v>330</v>
      </c>
      <c r="C68" s="530">
        <f t="shared" si="2"/>
        <v>-3.7990291730007196E-2</v>
      </c>
      <c r="D68" s="530">
        <f t="shared" si="3"/>
        <v>0.1065928845292637</v>
      </c>
      <c r="E68" s="530">
        <f t="shared" si="4"/>
        <v>7.3865000000000069</v>
      </c>
      <c r="F68" s="530">
        <f t="shared" si="5"/>
        <v>15.769499999999992</v>
      </c>
      <c r="G68" s="530">
        <f t="shared" si="6"/>
        <v>-1.2307802036778179</v>
      </c>
      <c r="H68" s="530">
        <f t="shared" si="7"/>
        <v>-1.3079764814821371</v>
      </c>
      <c r="I68" s="530">
        <f t="shared" si="8"/>
        <v>21.001737435285957</v>
      </c>
      <c r="J68" s="530">
        <f t="shared" si="11"/>
        <v>22.79773921309009</v>
      </c>
      <c r="K68" s="530">
        <f t="shared" si="9"/>
        <v>29.768156198078429</v>
      </c>
      <c r="L68" s="556">
        <f t="shared" si="10"/>
        <v>22.232517638963778</v>
      </c>
      <c r="M68" s="557"/>
      <c r="N68" s="530">
        <f>N67+1</f>
        <v>4</v>
      </c>
      <c r="O68" s="530">
        <f>AB67</f>
        <v>1.5734479572641162</v>
      </c>
      <c r="P68" s="530">
        <f t="shared" si="17"/>
        <v>0.99999648442998723</v>
      </c>
      <c r="Q68" s="530">
        <f t="shared" si="18"/>
        <v>-2.6516273618880353E-3</v>
      </c>
      <c r="R68" s="530">
        <f t="shared" si="19"/>
        <v>-7.3514417178723255</v>
      </c>
      <c r="S68" s="530">
        <f t="shared" si="20"/>
        <v>-0.4949624059925698</v>
      </c>
      <c r="T68" s="530">
        <f t="shared" si="21"/>
        <v>16.947007497663375</v>
      </c>
      <c r="U68" s="530">
        <f t="shared" si="22"/>
        <v>-2.5163697371936866</v>
      </c>
      <c r="V68" s="530">
        <f t="shared" si="23"/>
        <v>2.9743792465230654</v>
      </c>
      <c r="W68" s="530">
        <f t="shared" si="24"/>
        <v>2.5163697371936862</v>
      </c>
      <c r="X68" s="530">
        <f t="shared" si="25"/>
        <v>0.4949624059925698</v>
      </c>
      <c r="Y68" s="530">
        <f t="shared" si="26"/>
        <v>-16.947007497663378</v>
      </c>
      <c r="Z68" s="530">
        <f t="shared" si="27"/>
        <v>1.2212453270876722E-15</v>
      </c>
      <c r="AA68" s="530">
        <f t="shared" si="28"/>
        <v>-32.657069125237143</v>
      </c>
      <c r="AB68" s="530">
        <f t="shared" si="29"/>
        <v>1.5734479572641162</v>
      </c>
    </row>
    <row r="69" spans="1:28" s="513" customFormat="1">
      <c r="A69" s="530">
        <f t="shared" si="12"/>
        <v>23</v>
      </c>
      <c r="B69" s="530">
        <f t="shared" si="13"/>
        <v>345</v>
      </c>
      <c r="C69" s="530">
        <f t="shared" si="2"/>
        <v>-6.4284072518857302E-2</v>
      </c>
      <c r="D69" s="530">
        <f t="shared" si="3"/>
        <v>9.3128209036737589E-2</v>
      </c>
      <c r="E69" s="530">
        <f t="shared" si="4"/>
        <v>4.3181090400750506</v>
      </c>
      <c r="F69" s="530">
        <f t="shared" si="5"/>
        <v>18.837890959924948</v>
      </c>
      <c r="G69" s="530">
        <f t="shared" si="6"/>
        <v>0.41828358776298735</v>
      </c>
      <c r="H69" s="530">
        <f t="shared" si="7"/>
        <v>-2.2132511007317182</v>
      </c>
      <c r="I69" s="530">
        <f t="shared" si="8"/>
        <v>19.352673643845151</v>
      </c>
      <c r="J69" s="530">
        <f t="shared" si="11"/>
        <v>21.605103796964674</v>
      </c>
      <c r="K69" s="530">
        <f t="shared" si="9"/>
        <v>33.066283780960035</v>
      </c>
      <c r="L69" s="556">
        <f t="shared" si="10"/>
        <v>18.934390056082165</v>
      </c>
      <c r="M69" s="557"/>
      <c r="N69" s="530">
        <f>N68+1</f>
        <v>5</v>
      </c>
      <c r="O69" s="530">
        <f>AB68</f>
        <v>1.5734479572641162</v>
      </c>
      <c r="P69" s="530">
        <f t="shared" si="17"/>
        <v>0.99999648442998723</v>
      </c>
      <c r="Q69" s="530">
        <f t="shared" si="18"/>
        <v>-2.6516273618880353E-3</v>
      </c>
      <c r="R69" s="530">
        <f t="shared" si="19"/>
        <v>-7.3514417178723255</v>
      </c>
      <c r="S69" s="530">
        <f t="shared" si="20"/>
        <v>-0.4949624059925698</v>
      </c>
      <c r="T69" s="530">
        <f t="shared" si="21"/>
        <v>16.947007497663375</v>
      </c>
      <c r="U69" s="530">
        <f t="shared" si="22"/>
        <v>-2.5163697371936866</v>
      </c>
      <c r="V69" s="530">
        <f t="shared" si="23"/>
        <v>2.9743792465230654</v>
      </c>
      <c r="W69" s="530">
        <f t="shared" si="24"/>
        <v>2.5163697371936862</v>
      </c>
      <c r="X69" s="530">
        <f t="shared" si="25"/>
        <v>0.4949624059925698</v>
      </c>
      <c r="Y69" s="530">
        <f t="shared" si="26"/>
        <v>-16.947007497663378</v>
      </c>
      <c r="Z69" s="530">
        <f t="shared" si="27"/>
        <v>1.2212453270876722E-15</v>
      </c>
      <c r="AA69" s="530">
        <f t="shared" si="28"/>
        <v>-32.657069125237143</v>
      </c>
      <c r="AB69" s="530">
        <f t="shared" si="29"/>
        <v>1.5734479572641162</v>
      </c>
    </row>
    <row r="70" spans="1:28" s="513" customFormat="1">
      <c r="A70" s="530">
        <f t="shared" si="12"/>
        <v>24</v>
      </c>
      <c r="B70" s="530">
        <f t="shared" si="13"/>
        <v>360</v>
      </c>
      <c r="C70" s="530">
        <f t="shared" si="2"/>
        <v>-8.6196999999999982E-2</v>
      </c>
      <c r="D70" s="530">
        <f t="shared" si="3"/>
        <v>7.3317000000000021E-2</v>
      </c>
      <c r="E70" s="530">
        <f t="shared" si="4"/>
        <v>3.1949999999999998</v>
      </c>
      <c r="F70" s="530">
        <f t="shared" si="5"/>
        <v>19.960999999999999</v>
      </c>
      <c r="G70" s="530">
        <f t="shared" si="6"/>
        <v>1.1206900014279191</v>
      </c>
      <c r="H70" s="530">
        <f t="shared" si="7"/>
        <v>-2.9676963150368096</v>
      </c>
      <c r="I70" s="530">
        <f t="shared" si="8"/>
        <v>18.650267230180219</v>
      </c>
      <c r="J70" s="530">
        <f t="shared" si="11"/>
        <v>21.822516825906188</v>
      </c>
      <c r="K70" s="530">
        <f t="shared" si="9"/>
        <v>34.471096608289898</v>
      </c>
      <c r="L70" s="556">
        <f t="shared" si="10"/>
        <v>17.529577228752302</v>
      </c>
      <c r="M70" s="557"/>
      <c r="N70" s="530">
        <f>N69+1</f>
        <v>6</v>
      </c>
      <c r="O70" s="530">
        <f>AB69</f>
        <v>1.5734479572641162</v>
      </c>
      <c r="P70" s="530">
        <f t="shared" si="17"/>
        <v>0.99999648442998723</v>
      </c>
      <c r="Q70" s="530">
        <f t="shared" si="18"/>
        <v>-2.6516273618880353E-3</v>
      </c>
      <c r="R70" s="530">
        <f t="shared" si="19"/>
        <v>-7.3514417178723255</v>
      </c>
      <c r="S70" s="530">
        <f t="shared" si="20"/>
        <v>-0.4949624059925698</v>
      </c>
      <c r="T70" s="530">
        <f t="shared" si="21"/>
        <v>16.947007497663375</v>
      </c>
      <c r="U70" s="530">
        <f t="shared" si="22"/>
        <v>-2.5163697371936866</v>
      </c>
      <c r="V70" s="530">
        <f t="shared" si="23"/>
        <v>2.9743792465230654</v>
      </c>
      <c r="W70" s="530">
        <f t="shared" si="24"/>
        <v>2.5163697371936862</v>
      </c>
      <c r="X70" s="530">
        <f t="shared" si="25"/>
        <v>0.4949624059925698</v>
      </c>
      <c r="Y70" s="530">
        <f t="shared" si="26"/>
        <v>-16.947007497663378</v>
      </c>
      <c r="Z70" s="530">
        <f t="shared" si="27"/>
        <v>1.2212453270876722E-15</v>
      </c>
      <c r="AA70" s="530">
        <f t="shared" si="28"/>
        <v>-32.657069125237143</v>
      </c>
      <c r="AB70" s="530">
        <f t="shared" si="29"/>
        <v>1.5734479572641162</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-8.9636211656418829E-2</v>
      </c>
      <c r="D73" s="530">
        <f t="shared" ref="D73:D85" si="32">$E$19*SIN(B73*PI()/180)+$E$20*COS(B73*PI()/180)</f>
        <v>-6.9069927304766174E-2</v>
      </c>
      <c r="E73" s="530">
        <f t="shared" ref="E73:E85" si="33">$E$22*COS(B73*PI()/180)^2+$E$23*SIN(B73*PI()/180)^2</f>
        <v>19.236251571417924</v>
      </c>
      <c r="F73" s="530">
        <f t="shared" ref="F73:F85" si="34">$E$22*SIN(B73*PI()/180)^2+$E$23*COS(B73*PI()/180)^2</f>
        <v>3.9197484285820776</v>
      </c>
      <c r="G73" s="530">
        <f t="shared" ref="G73:G85" si="35">($E$18*(C73+$E$28)^2-$E$18*($E$21+$E$26)^2+$E$24-E73)/2</f>
        <v>-6.874104843517995</v>
      </c>
      <c r="H73" s="530">
        <f t="shared" ref="H73:H85" si="36">$E$18*(C73+$E$28)*($E$21+$E$26)</f>
        <v>-3.0861057232457481</v>
      </c>
      <c r="I73" s="530">
        <f t="shared" ref="I73:I85" si="37">$E$18*((C73+$E$28)^2+($E$21+$E$26)^2)/2+$E$18*(D73+$E$27)^2+($E$24+E73)/2</f>
        <v>26.645062075126134</v>
      </c>
      <c r="J73" s="530">
        <f>SQRT(G73^2+H73^2)+I73</f>
        <v>34.180137783752272</v>
      </c>
      <c r="K73" s="556">
        <f>IF(G73=0,0,IF((PI()/2-ATAN2(H73,G73))/2*180/PI()&gt;90,(PI()/2-ATAN2(H73,G73))/2*180/PI()-180,(PI()/2-ATAN2(H73,G73))/2*180/PI()))</f>
        <v>-77.91123397238924</v>
      </c>
      <c r="L73" s="556">
        <f>IF(G73=0,0,SQRT(G73^2+H73^2)*SIN(2*K73*PI()/180+ATAN2(H73,G73))+I73)</f>
        <v>34.180137783752272</v>
      </c>
    </row>
    <row r="74" spans="1:28" s="513" customFormat="1">
      <c r="A74" s="530">
        <v>1</v>
      </c>
      <c r="B74" s="530">
        <f t="shared" si="30"/>
        <v>80</v>
      </c>
      <c r="C74" s="530">
        <f t="shared" si="31"/>
        <v>-8.7171101997952444E-2</v>
      </c>
      <c r="D74" s="530">
        <f t="shared" si="32"/>
        <v>-7.2156110444386967E-2</v>
      </c>
      <c r="E74" s="530">
        <f t="shared" si="33"/>
        <v>19.455443240048268</v>
      </c>
      <c r="F74" s="530">
        <f t="shared" si="34"/>
        <v>3.7005567599517297</v>
      </c>
      <c r="G74" s="530">
        <f t="shared" si="35"/>
        <v>-7.0023179856622493</v>
      </c>
      <c r="H74" s="530">
        <f t="shared" si="36"/>
        <v>-3.0012338965047669</v>
      </c>
      <c r="I74" s="530">
        <f t="shared" si="37"/>
        <v>26.773275217270388</v>
      </c>
      <c r="J74" s="530">
        <f>SQRT(G74^2+H74^2)+I74</f>
        <v>34.391664946987433</v>
      </c>
      <c r="K74" s="556">
        <f t="shared" ref="K74:K85" si="38">IF(G74=0,0,IF((PI()/2-ATAN2(H74,G74))/2*180/PI()&gt;90,(PI()/2-ATAN2(H74,G74))/2*180/PI()-180,(PI()/2-ATAN2(H74,G74))/2*180/PI()))</f>
        <v>-78.399873588671952</v>
      </c>
      <c r="L74" s="556">
        <f t="shared" ref="L74:L85" si="39">IF(G74=0,0,SQRT(G74^2+H74^2)*SIN(2*K74*PI()/180+ATAN2(H74,G74))+I74)</f>
        <v>34.391664946987433</v>
      </c>
    </row>
    <row r="75" spans="1:28" s="513" customFormat="1">
      <c r="A75" s="530">
        <f>A74+1</f>
        <v>2</v>
      </c>
      <c r="B75" s="530">
        <f t="shared" si="30"/>
        <v>82</v>
      </c>
      <c r="C75" s="530">
        <f t="shared" si="31"/>
        <v>-8.4599787779380486E-2</v>
      </c>
      <c r="D75" s="530">
        <f t="shared" si="32"/>
        <v>-7.5154382478228005E-2</v>
      </c>
      <c r="E75" s="530">
        <f t="shared" si="33"/>
        <v>19.636256797050923</v>
      </c>
      <c r="F75" s="530">
        <f t="shared" si="34"/>
        <v>3.5197432029490736</v>
      </c>
      <c r="G75" s="530">
        <f t="shared" si="35"/>
        <v>-7.1115909942806903</v>
      </c>
      <c r="H75" s="530">
        <f t="shared" si="36"/>
        <v>-2.9127055285655374</v>
      </c>
      <c r="I75" s="530">
        <f t="shared" si="37"/>
        <v>26.882548225888833</v>
      </c>
      <c r="J75" s="530">
        <f t="shared" ref="J75:J84" si="40">SQRT(G75^2+H75^2)+I75</f>
        <v>34.567506258700107</v>
      </c>
      <c r="K75" s="556">
        <f t="shared" si="38"/>
        <v>-78.863694195323589</v>
      </c>
      <c r="L75" s="556">
        <f t="shared" si="39"/>
        <v>34.567506258700107</v>
      </c>
    </row>
    <row r="76" spans="1:28" s="513" customFormat="1">
      <c r="A76" s="530">
        <f t="shared" ref="A76:A84" si="41">A75+1</f>
        <v>3</v>
      </c>
      <c r="B76" s="530">
        <f t="shared" si="30"/>
        <v>84</v>
      </c>
      <c r="C76" s="530">
        <f t="shared" si="31"/>
        <v>-8.1925401750997606E-2</v>
      </c>
      <c r="D76" s="530">
        <f t="shared" si="32"/>
        <v>-7.8061090473664496E-2</v>
      </c>
      <c r="E76" s="530">
        <f t="shared" si="33"/>
        <v>19.777811336951491</v>
      </c>
      <c r="F76" s="530">
        <f t="shared" si="34"/>
        <v>3.3781886630485065</v>
      </c>
      <c r="G76" s="530">
        <f t="shared" si="35"/>
        <v>-7.2013915022594182</v>
      </c>
      <c r="H76" s="530">
        <f t="shared" si="36"/>
        <v>-2.8206284776076411</v>
      </c>
      <c r="I76" s="530">
        <f t="shared" si="37"/>
        <v>26.972348733867559</v>
      </c>
      <c r="J76" s="530">
        <f t="shared" si="40"/>
        <v>34.706428160502988</v>
      </c>
      <c r="K76" s="556">
        <f t="shared" si="38"/>
        <v>-79.305400689033959</v>
      </c>
      <c r="L76" s="556">
        <f t="shared" si="39"/>
        <v>34.706428160502988</v>
      </c>
    </row>
    <row r="77" spans="1:28" s="513" customFormat="1">
      <c r="A77" s="530">
        <f t="shared" si="41"/>
        <v>4</v>
      </c>
      <c r="B77" s="530">
        <f t="shared" si="30"/>
        <v>86</v>
      </c>
      <c r="C77" s="530">
        <f t="shared" si="31"/>
        <v>-7.9151202240221916E-2</v>
      </c>
      <c r="D77" s="530">
        <f t="shared" si="32"/>
        <v>-8.0872693054748021E-2</v>
      </c>
      <c r="E77" s="530">
        <f t="shared" si="33"/>
        <v>19.879417220260581</v>
      </c>
      <c r="F77" s="530">
        <f t="shared" si="34"/>
        <v>3.276582779739416</v>
      </c>
      <c r="G77" s="530">
        <f t="shared" si="35"/>
        <v>-7.2712820105502693</v>
      </c>
      <c r="H77" s="530">
        <f t="shared" si="36"/>
        <v>-2.7251149253342914</v>
      </c>
      <c r="I77" s="530">
        <f t="shared" si="37"/>
        <v>27.042239242158409</v>
      </c>
      <c r="J77" s="530">
        <f t="shared" si="40"/>
        <v>34.807404625666457</v>
      </c>
      <c r="K77" s="556">
        <f t="shared" si="38"/>
        <v>-79.727559081116993</v>
      </c>
      <c r="L77" s="556">
        <f t="shared" si="39"/>
        <v>34.807404625666457</v>
      </c>
    </row>
    <row r="78" spans="1:28" s="513" customFormat="1">
      <c r="A78" s="530">
        <f t="shared" si="41"/>
        <v>5</v>
      </c>
      <c r="B78" s="530">
        <f t="shared" si="30"/>
        <v>88</v>
      </c>
      <c r="C78" s="530">
        <f t="shared" si="31"/>
        <v>-7.628056918182452E-2</v>
      </c>
      <c r="D78" s="530">
        <f t="shared" si="32"/>
        <v>-8.3585764716827729E-2</v>
      </c>
      <c r="E78" s="530">
        <f t="shared" si="33"/>
        <v>19.940579433328107</v>
      </c>
      <c r="F78" s="530">
        <f t="shared" si="34"/>
        <v>3.2154205666718934</v>
      </c>
      <c r="G78" s="530">
        <f t="shared" si="35"/>
        <v>-7.320922019622226</v>
      </c>
      <c r="H78" s="530">
        <f t="shared" si="36"/>
        <v>-2.6262812402961946</v>
      </c>
      <c r="I78" s="530">
        <f t="shared" si="37"/>
        <v>27.091879251230363</v>
      </c>
      <c r="J78" s="530">
        <f t="shared" si="40"/>
        <v>34.869620078136421</v>
      </c>
      <c r="K78" s="556">
        <f t="shared" si="38"/>
        <v>-80.132620890837501</v>
      </c>
      <c r="L78" s="556">
        <f t="shared" si="39"/>
        <v>34.869620078136421</v>
      </c>
    </row>
    <row r="79" spans="1:28" s="513" customFormat="1" ht="14.25">
      <c r="A79" s="577">
        <f t="shared" si="41"/>
        <v>6</v>
      </c>
      <c r="B79" s="577">
        <f>INDEX($B46:$B70,MATCH($J$44,$J$46:$J$70,0))</f>
        <v>90</v>
      </c>
      <c r="C79" s="577">
        <f t="shared" si="31"/>
        <v>-7.3316999999999993E-2</v>
      </c>
      <c r="D79" s="577">
        <f t="shared" si="32"/>
        <v>-8.6196999999999996E-2</v>
      </c>
      <c r="E79" s="577">
        <f t="shared" si="33"/>
        <v>19.960999999999999</v>
      </c>
      <c r="F79" s="577">
        <f t="shared" si="34"/>
        <v>3.1949999999999998</v>
      </c>
      <c r="G79" s="577">
        <f t="shared" si="35"/>
        <v>-7.3500696883408807</v>
      </c>
      <c r="H79" s="577">
        <f t="shared" si="36"/>
        <v>-2.5242478361144101</v>
      </c>
      <c r="I79" s="577">
        <f t="shared" si="37"/>
        <v>27.121026919949021</v>
      </c>
      <c r="J79" s="577">
        <f t="shared" si="40"/>
        <v>34.892471545087623</v>
      </c>
      <c r="K79" s="556">
        <f t="shared" si="38"/>
        <v>-80.522948724044326</v>
      </c>
      <c r="L79" s="556">
        <f t="shared" si="39"/>
        <v>34.892471545087623</v>
      </c>
    </row>
    <row r="80" spans="1:28" s="513" customFormat="1">
      <c r="A80" s="530">
        <f t="shared" si="41"/>
        <v>7</v>
      </c>
      <c r="B80" s="530">
        <f t="shared" ref="B80:B85" si="42">B79+2</f>
        <v>92</v>
      </c>
      <c r="C80" s="530">
        <f t="shared" si="31"/>
        <v>-7.0264105347293576E-2</v>
      </c>
      <c r="D80" s="530">
        <f t="shared" si="32"/>
        <v>-8.8703217516302238E-2</v>
      </c>
      <c r="E80" s="530">
        <f t="shared" si="33"/>
        <v>19.940579433328107</v>
      </c>
      <c r="F80" s="530">
        <f t="shared" si="34"/>
        <v>3.2154205666718929</v>
      </c>
      <c r="G80" s="530">
        <f t="shared" si="35"/>
        <v>-7.3585830121941536</v>
      </c>
      <c r="H80" s="530">
        <f t="shared" si="36"/>
        <v>-2.4191390247748923</v>
      </c>
      <c r="I80" s="530">
        <f t="shared" si="37"/>
        <v>27.129540243802289</v>
      </c>
      <c r="J80" s="530">
        <f t="shared" si="40"/>
        <v>34.875570037738093</v>
      </c>
      <c r="K80" s="556">
        <f t="shared" si="38"/>
        <v>-80.900843098273825</v>
      </c>
      <c r="L80" s="556">
        <f t="shared" si="39"/>
        <v>34.875570037738093</v>
      </c>
    </row>
    <row r="81" spans="1:16" s="513" customFormat="1">
      <c r="A81" s="530">
        <f t="shared" si="41"/>
        <v>8</v>
      </c>
      <c r="B81" s="530">
        <f t="shared" si="42"/>
        <v>94</v>
      </c>
      <c r="C81" s="530">
        <f t="shared" si="31"/>
        <v>-6.7125604705577158E-2</v>
      </c>
      <c r="D81" s="530">
        <f t="shared" si="32"/>
        <v>-9.1101363825744103E-2</v>
      </c>
      <c r="E81" s="530">
        <f t="shared" si="33"/>
        <v>19.879417220260581</v>
      </c>
      <c r="F81" s="530">
        <f t="shared" si="34"/>
        <v>3.2765827797394156</v>
      </c>
      <c r="G81" s="530">
        <f t="shared" si="35"/>
        <v>-7.3464205151239828</v>
      </c>
      <c r="H81" s="530">
        <f t="shared" si="36"/>
        <v>-2.3110828651734852</v>
      </c>
      <c r="I81" s="530">
        <f t="shared" si="37"/>
        <v>27.117377746732124</v>
      </c>
      <c r="J81" s="530">
        <f t="shared" si="40"/>
        <v>34.818741158150459</v>
      </c>
      <c r="K81" s="556">
        <f t="shared" si="38"/>
        <v>-81.268570782181342</v>
      </c>
      <c r="L81" s="556">
        <f t="shared" si="39"/>
        <v>34.818741158150459</v>
      </c>
    </row>
    <row r="82" spans="1:16" s="513" customFormat="1">
      <c r="A82" s="530">
        <f t="shared" si="41"/>
        <v>9</v>
      </c>
      <c r="B82" s="530">
        <f t="shared" si="42"/>
        <v>96</v>
      </c>
      <c r="C82" s="530">
        <f t="shared" si="31"/>
        <v>-6.3905321854433789E-2</v>
      </c>
      <c r="D82" s="530">
        <f t="shared" si="32"/>
        <v>-9.3388517156453604E-2</v>
      </c>
      <c r="E82" s="530">
        <f t="shared" si="33"/>
        <v>19.777811336951494</v>
      </c>
      <c r="F82" s="530">
        <f t="shared" si="34"/>
        <v>3.378188663048507</v>
      </c>
      <c r="G82" s="530">
        <f t="shared" si="35"/>
        <v>-7.313641451593532</v>
      </c>
      <c r="H82" s="530">
        <f t="shared" si="36"/>
        <v>-2.2002110070958909</v>
      </c>
      <c r="I82" s="530">
        <f t="shared" si="37"/>
        <v>27.084598683201673</v>
      </c>
      <c r="J82" s="530">
        <f t="shared" si="40"/>
        <v>34.722024935429125</v>
      </c>
      <c r="K82" s="556">
        <f t="shared" si="38"/>
        <v>-81.628395111357435</v>
      </c>
      <c r="L82" s="556">
        <f t="shared" si="39"/>
        <v>34.722024935429125</v>
      </c>
    </row>
    <row r="83" spans="1:16" s="513" customFormat="1">
      <c r="A83" s="530">
        <f t="shared" si="41"/>
        <v>10</v>
      </c>
      <c r="B83" s="530">
        <f t="shared" si="42"/>
        <v>98</v>
      </c>
      <c r="C83" s="530">
        <f t="shared" si="31"/>
        <v>-6.0607180212470961E-2</v>
      </c>
      <c r="D83" s="530">
        <f t="shared" si="32"/>
        <v>-9.5561890964406246E-2</v>
      </c>
      <c r="E83" s="530">
        <f t="shared" si="33"/>
        <v>19.636256797050926</v>
      </c>
      <c r="F83" s="530">
        <f t="shared" si="34"/>
        <v>3.5197432029490727</v>
      </c>
      <c r="G83" s="530">
        <f t="shared" si="35"/>
        <v>-7.2604055179053741</v>
      </c>
      <c r="H83" s="530">
        <f t="shared" si="36"/>
        <v>-2.0866585308226728</v>
      </c>
      <c r="I83" s="530">
        <f t="shared" si="37"/>
        <v>27.031362749513512</v>
      </c>
      <c r="J83" s="530">
        <f t="shared" si="40"/>
        <v>34.585674902759884</v>
      </c>
      <c r="K83" s="556">
        <f t="shared" si="38"/>
        <v>-81.982608941454956</v>
      </c>
      <c r="L83" s="556">
        <f t="shared" si="39"/>
        <v>34.585674902759884</v>
      </c>
    </row>
    <row r="84" spans="1:16" s="513" customFormat="1">
      <c r="A84" s="530">
        <f t="shared" si="41"/>
        <v>11</v>
      </c>
      <c r="B84" s="530">
        <f t="shared" si="42"/>
        <v>100</v>
      </c>
      <c r="C84" s="530">
        <f t="shared" si="31"/>
        <v>-5.7235198057239652E-2</v>
      </c>
      <c r="D84" s="530">
        <f t="shared" si="32"/>
        <v>-9.7618837328399627E-2</v>
      </c>
      <c r="E84" s="530">
        <f t="shared" si="33"/>
        <v>19.455443240048268</v>
      </c>
      <c r="F84" s="530">
        <f t="shared" si="34"/>
        <v>3.7005567599517288</v>
      </c>
      <c r="G84" s="530">
        <f t="shared" si="35"/>
        <v>-7.1869720741771834</v>
      </c>
      <c r="H84" s="530">
        <f t="shared" si="36"/>
        <v>-1.9705637825547537</v>
      </c>
      <c r="I84" s="530">
        <f t="shared" si="37"/>
        <v>26.957929305785324</v>
      </c>
      <c r="J84" s="530">
        <f t="shared" si="40"/>
        <v>34.410156437060863</v>
      </c>
      <c r="K84" s="556">
        <f t="shared" si="38"/>
        <v>-82.333571120443366</v>
      </c>
      <c r="L84" s="556">
        <f t="shared" si="39"/>
        <v>34.410156437060863</v>
      </c>
    </row>
    <row r="85" spans="1:16" s="513" customFormat="1">
      <c r="A85" s="530">
        <f>A84+1</f>
        <v>12</v>
      </c>
      <c r="B85" s="530">
        <f t="shared" si="42"/>
        <v>102</v>
      </c>
      <c r="C85" s="530">
        <f t="shared" si="31"/>
        <v>-5.3793483629582042E-2</v>
      </c>
      <c r="D85" s="530">
        <f t="shared" si="32"/>
        <v>-9.9556850176137482E-2</v>
      </c>
      <c r="E85" s="530">
        <f t="shared" si="33"/>
        <v>19.236251571417924</v>
      </c>
      <c r="F85" s="530">
        <f t="shared" si="34"/>
        <v>3.919748428582075</v>
      </c>
      <c r="G85" s="530">
        <f t="shared" si="35"/>
        <v>-7.0936988807653023</v>
      </c>
      <c r="H85" s="530">
        <f t="shared" si="36"/>
        <v>-1.8520682058598745</v>
      </c>
      <c r="I85" s="530">
        <f t="shared" si="37"/>
        <v>26.864656112373442</v>
      </c>
      <c r="J85" s="530">
        <f>SQRT(G85^2+H85^2)+I85</f>
        <v>34.196144395807295</v>
      </c>
      <c r="K85" s="556">
        <f t="shared" si="38"/>
        <v>-82.683747623704903</v>
      </c>
      <c r="L85" s="556">
        <f t="shared" si="39"/>
        <v>34.196144395807295</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90.151927234714591</v>
      </c>
      <c r="C89" s="530">
        <f>$E$19*COS(B89*PI()/180)-$E$20*SIN(B89*PI()/180)</f>
        <v>-7.3088179925240693E-2</v>
      </c>
      <c r="D89" s="530">
        <f>$E$19*SIN(B89*PI()/180)+$E$20*COS(B89*PI()/180)</f>
        <v>-8.6391106331703146E-2</v>
      </c>
      <c r="E89" s="530">
        <f>$E$22*COS(B89*PI()/180)^2+$E$23*SIN(B89*PI()/180)^2</f>
        <v>19.960882116113545</v>
      </c>
      <c r="F89" s="556">
        <f>$E$22*SIN(B89*PI()/180)^2+$E$23*COS(B89*PI()/180)^2</f>
        <v>3.1951178838864531</v>
      </c>
      <c r="G89" s="530">
        <f>($E$18*(C89+$E$28)^2-$E$18*($E$21+$E$26)^2+$E$24-E89)/2</f>
        <v>-7.3514417178723255</v>
      </c>
      <c r="H89" s="530">
        <f>$E$18*(C89+$E$28)*($E$21+$E$26)</f>
        <v>-2.5163697371936866</v>
      </c>
      <c r="I89" s="530">
        <f>$E$18*((C89+$E$28)^2+($E$21+$E$26)^2)/2+$E$18*(D89+$E$27)^2+($E$24+E89)/2</f>
        <v>27.122398949480466</v>
      </c>
      <c r="J89" s="583">
        <f>SQRT(G89^2+H89^2)+I89</f>
        <v>34.892586333677698</v>
      </c>
      <c r="K89" s="545">
        <f>$E$18*((C89+$E$28)^2+($E$21+$E$26)^2)+F89</f>
        <v>17.526833169689414</v>
      </c>
      <c r="L89" s="545">
        <f>$E$18*(D89^2+($E$21+$E$26)^2)+E89</f>
        <v>34.473840667352789</v>
      </c>
      <c r="N89" s="530">
        <f>IF(G89=0,0,IF((PI()/2-ATAN2(H89,G89))/2*180/PI()&gt;90,(PI()/2-ATAN2(H89,G89))/2*180/PI()-180,(PI()/2-ATAN2(H89,G89))/2*180/PI()))</f>
        <v>-80.552062655585701</v>
      </c>
      <c r="O89" s="530">
        <f>IF(G89=0,0,SQRT(G89^2+H89^2)*SIN(2*N89*PI()/180+ATAN2(H89,G89))+I89)</f>
        <v>34.892586333677698</v>
      </c>
      <c r="P89" s="584"/>
    </row>
    <row r="90" spans="1:16" s="513" customFormat="1" ht="14.25">
      <c r="A90" s="550" t="s">
        <v>1584</v>
      </c>
      <c r="B90" s="583">
        <f>N46</f>
        <v>1.8234357966033965</v>
      </c>
      <c r="C90" s="530">
        <f>$E$19*COS(B90*PI()/180)-$E$20*SIN(B90*PI()/180)</f>
        <v>-8.848626893528426E-2</v>
      </c>
      <c r="D90" s="556">
        <f>$E$19*SIN(B90*PI()/180)+$E$20*COS(B90*PI()/180)</f>
        <v>7.0537121488706542E-2</v>
      </c>
      <c r="E90" s="556">
        <f>$E$22*COS(B90*PI()/180)^2+$E$23*SIN(B90*PI()/180)^2</f>
        <v>3.2119753416164381</v>
      </c>
      <c r="F90" s="530">
        <f>$E$22*SIN(B90*PI()/180)^2+$E$23*COS(B90*PI()/180)^2</f>
        <v>19.944024658383558</v>
      </c>
      <c r="G90" s="556">
        <f>($E$18*(C90+$E$28)^2-$E$18*($E$21+$E$26)^2+$E$24-E90)/2</f>
        <v>1.1292839301668507</v>
      </c>
      <c r="H90" s="556">
        <f>$E$18*(C90+$E$28)*($E$21+$E$26)</f>
        <v>-3.0465140811234646</v>
      </c>
      <c r="I90" s="556">
        <f>$E$18*((C90+$E$28)^2+($E$21+$E$26)^2)/2+$E$18*(D90+$E$27)^2+($E$24+E90)/2</f>
        <v>18.641673301441287</v>
      </c>
      <c r="J90" s="556">
        <f>SQRT(G90^2+H90^2)+I90</f>
        <v>21.890754747237413</v>
      </c>
      <c r="K90" s="583">
        <f>$E$18*((C90+$E$28)^2+($E$21+$E$26)^2)+F90</f>
        <v>34.488284465767762</v>
      </c>
      <c r="L90" s="545">
        <f>$E$18*(D90^2+($E$21+$E$26)^2)+E90</f>
        <v>17.512389371274438</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10001</v>
      </c>
      <c r="D2" s="4" t="str">
        <f>'Misc Data'!C26</f>
        <v>R-2000iB/210F</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R-2000iB/210F</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178</v>
      </c>
      <c r="D6" s="185">
        <f>VLOOKUP($C$2,J3J6Table,4,FALSE)</f>
        <v>25</v>
      </c>
      <c r="E6" s="185">
        <f>VLOOKUP($C$2,J3J6Table,5,FALSE)</f>
        <v>85</v>
      </c>
      <c r="F6" s="343">
        <f>VLOOKUP($C$2,J3J6Table,6,FALSE)</f>
        <v>210</v>
      </c>
      <c r="G6" s="343">
        <f>VLOOKUP($C$2,J3J6Table,7,FALSE)</f>
        <v>221</v>
      </c>
      <c r="H6" s="185">
        <f>VLOOKUP($C$2,J3J6Table,8,FALSE)</f>
        <v>1</v>
      </c>
      <c r="J6" s="343">
        <f>C6</f>
        <v>178</v>
      </c>
      <c r="K6" s="343">
        <f>IF(H6=3,C6/(E6-G6),(D6-C6)/(F6-E6))</f>
        <v>-1.224</v>
      </c>
      <c r="L6" s="344">
        <f>-(K6*E6-C6)</f>
        <v>282.03999999999996</v>
      </c>
      <c r="M6" s="343">
        <f>IF(H6=1,-D6/(G6-F6),"-")</f>
        <v>-2.2727272727272729</v>
      </c>
      <c r="N6" s="343">
        <f>IF(H6=1,-(M6*F6-D6),"-")</f>
        <v>502.27272727272731</v>
      </c>
    </row>
    <row r="7" spans="1:14">
      <c r="J7" s="180" t="s">
        <v>352</v>
      </c>
      <c r="K7" s="180" t="s">
        <v>2781</v>
      </c>
      <c r="M7" s="182" t="s">
        <v>3188</v>
      </c>
    </row>
    <row r="8" spans="1:14">
      <c r="A8" s="187" t="s">
        <v>2190</v>
      </c>
      <c r="B8" s="189" t="s">
        <v>2122</v>
      </c>
      <c r="C8" s="190">
        <f>Anal_Input_8</f>
        <v>15</v>
      </c>
      <c r="J8" s="189">
        <f>+E6</f>
        <v>85</v>
      </c>
      <c r="K8" s="189">
        <f>+(C8-L6)/K6</f>
        <v>218.16993464052285</v>
      </c>
      <c r="L8" s="185"/>
      <c r="M8" s="189">
        <f>+(C8-N6)/M6</f>
        <v>214.4</v>
      </c>
    </row>
    <row r="9" spans="1:14">
      <c r="E9" s="175" t="s">
        <v>347</v>
      </c>
      <c r="F9" s="175">
        <v>1</v>
      </c>
      <c r="G9" s="175">
        <v>2</v>
      </c>
      <c r="H9" s="175">
        <v>3</v>
      </c>
    </row>
    <row r="10" spans="1:14">
      <c r="A10" s="187" t="s">
        <v>2191</v>
      </c>
      <c r="B10" s="189" t="s">
        <v>2192</v>
      </c>
      <c r="C10" s="185">
        <f>IF(H6=1,F10,IF(H6=2,$G10,IF(H6=3,H10,IF(H6="-",E10))))</f>
        <v>214.4</v>
      </c>
      <c r="E10" s="189">
        <f>VLOOKUP(Anal_Robot_Code,Table1,12,TRUE)</f>
        <v>210</v>
      </c>
      <c r="F10" s="185">
        <f>IF($C8&gt;$C6,0,IF($C8&gt;$D6,$K8,IF($C8&lt;=$D6,$M8,"NG")))</f>
        <v>214.4</v>
      </c>
      <c r="G10" s="185">
        <f>IF($C8&gt;$C6,0,IF($C8&gt;$D6,$K8,IF($C8&lt;=$D6,$F6,"NG")))</f>
        <v>210</v>
      </c>
      <c r="H10" s="185">
        <f>IF($C8&gt;$C6,0,IF($C8&gt;=0,$K8))</f>
        <v>218.16993464052285</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69.063999999999965</v>
      </c>
      <c r="F22" s="195">
        <f>J36</f>
        <v>178</v>
      </c>
      <c r="G22" s="195">
        <f>K36*C17+L36</f>
        <v>69.063999999999965</v>
      </c>
      <c r="H22" s="195">
        <f>IF(N34, M36*C17+N36, 0)</f>
        <v>106.81818181818181</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210</v>
      </c>
      <c r="D27" s="200">
        <f>G36</f>
        <v>221</v>
      </c>
      <c r="E27" s="200">
        <f>IF(H36=3, 0, D36)</f>
        <v>25</v>
      </c>
      <c r="F27" s="200">
        <f>C22</f>
        <v>69.063999999999965</v>
      </c>
      <c r="G27" s="185">
        <v>1</v>
      </c>
      <c r="H27" s="185" t="s">
        <v>138</v>
      </c>
    </row>
    <row r="28" spans="2:14">
      <c r="B28" s="189" t="s">
        <v>1702</v>
      </c>
      <c r="C28" s="201">
        <f>C17/C27</f>
        <v>0.82857142857142863</v>
      </c>
      <c r="D28" s="201">
        <f>C17/D27</f>
        <v>0.78733031674208143</v>
      </c>
      <c r="E28" s="201">
        <f>IF( E27&gt; 0, D17/E27, NA())</f>
        <v>0.12</v>
      </c>
      <c r="F28" s="201">
        <f>IF( F27&gt; 0, D17/F27, NA())</f>
        <v>4.3437970578014615E-2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214.4</v>
      </c>
      <c r="K29" s="185">
        <f>VLOOKUP(Anal_Robot_Code,Table1,12,TRUE)</f>
        <v>210</v>
      </c>
      <c r="L29" s="185">
        <f>IF($C8&gt;$C36,0,IF($C8&gt;$D36,$K32,IF($C8&lt;=$D36,$M32,"NG")))</f>
        <v>214.4</v>
      </c>
      <c r="M29" s="185">
        <f>IF($C8&gt;$C36,0,IF($C8&gt;$D36,$K32,IF($C8&lt;=$D36,$F36,"NG")))</f>
        <v>210</v>
      </c>
      <c r="N29" s="185">
        <f>IF($C8&gt;$C36,0,IF($C8&gt;=0,$K32))</f>
        <v>218.16993464052285</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85</v>
      </c>
      <c r="K32" s="185">
        <f>+(C8-L36)/K36</f>
        <v>218.16993464052285</v>
      </c>
      <c r="L32" s="185"/>
      <c r="M32" s="185">
        <f>+(C8-N36)/M36</f>
        <v>214.4</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R-2000iB/210F</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178</v>
      </c>
      <c r="D36" s="185">
        <f>VLOOKUP($C$2,J3J6Table,4,FALSE)</f>
        <v>25</v>
      </c>
      <c r="E36" s="185">
        <f>VLOOKUP($C$2,J3J6Table,5,FALSE)</f>
        <v>85</v>
      </c>
      <c r="F36" s="185">
        <f>VLOOKUP($C$2,J3J6Table,6,FALSE)</f>
        <v>210</v>
      </c>
      <c r="G36" s="185">
        <f>VLOOKUP($C$2,J3J6Table,7,FALSE)</f>
        <v>221</v>
      </c>
      <c r="H36" s="185">
        <f>VLOOKUP($C$2,J3J6Table,8,FALSE)</f>
        <v>1</v>
      </c>
      <c r="J36" s="185">
        <f>VLOOKUP($C$2,J3J6Table,10,FALSE)</f>
        <v>178</v>
      </c>
      <c r="K36" s="185">
        <f>VLOOKUP($C$2,J3J6Table,11,FALSE)</f>
        <v>-1.224</v>
      </c>
      <c r="L36" s="185">
        <f>VLOOKUP($C$2,J3J6Table,12,FALSE)</f>
        <v>282.03999999999996</v>
      </c>
      <c r="M36" s="185">
        <f>VLOOKUP($C$2,J3J6Table,13,FALSE)</f>
        <v>-2.2727272727272729</v>
      </c>
      <c r="N36" s="185">
        <f>VLOOKUP($C$2,J3J6Table,14,FALSE)</f>
        <v>502.27272727272731</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10001</v>
      </c>
      <c r="D3" s="4" t="str">
        <f>'Misc Data'!C26</f>
        <v>R-2000iB/210F</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0.11316052888706379</v>
      </c>
      <c r="P5" s="8"/>
      <c r="Q5" s="3" t="s">
        <v>91</v>
      </c>
      <c r="R5" s="8"/>
    </row>
    <row r="6" spans="1:18" ht="14.1" customHeight="1">
      <c r="B6" s="12" t="s">
        <v>427</v>
      </c>
      <c r="C6" s="66">
        <f>VLOOKUP($C$3,Table1,12)</f>
        <v>210</v>
      </c>
      <c r="D6" s="62">
        <f>HLOOKUP($C$4,$E$4:$H$12,3)</f>
        <v>85.43</v>
      </c>
      <c r="E6" s="62">
        <f>'Payload Input'!$E$18</f>
        <v>85.43</v>
      </c>
      <c r="F6" s="62">
        <f>'Payload Input'!$E$18</f>
        <v>85.43</v>
      </c>
      <c r="G6" s="126">
        <f>IF(('Misc Data'!$B$11=3),Anal_Input_1, 0)</f>
        <v>0</v>
      </c>
      <c r="H6" s="133">
        <f>I6</f>
        <v>0</v>
      </c>
      <c r="I6" s="134">
        <f>IF(('Misc Data'!$B$11=4),Anal_Input_1, 0)</f>
        <v>0</v>
      </c>
      <c r="K6" s="45"/>
      <c r="L6" s="46"/>
      <c r="M6" s="129"/>
      <c r="N6" s="335" t="s">
        <v>840</v>
      </c>
      <c r="O6" s="46">
        <f>'Payload Input'!$E$21+'Payload Input'!$E$26</f>
        <v>0.40301100000000001</v>
      </c>
      <c r="Q6" s="29" t="s">
        <v>427</v>
      </c>
      <c r="R6" s="378">
        <f>D6</f>
        <v>85.43</v>
      </c>
    </row>
    <row r="7" spans="1:18" ht="14.1" customHeight="1">
      <c r="B7" s="12" t="s">
        <v>364</v>
      </c>
      <c r="C7" s="66">
        <f>VLOOKUP($C$3,Table1,6)</f>
        <v>1333</v>
      </c>
      <c r="D7" s="62">
        <f>IF(OR(Anal_Robot_Code=10111,Anal_Robot_Code=10214,Anal_Robot_Code=10215),"-",HLOOKUP($C$4,$E$4:$H$12,4))</f>
        <v>350.4549917612735</v>
      </c>
      <c r="E7" s="62">
        <f>'Payload Input'!$E$31</f>
        <v>350.4549917612735</v>
      </c>
      <c r="F7" s="62">
        <f>'Payload Input'!$E$31</f>
        <v>350.4549917612735</v>
      </c>
      <c r="G7" s="126">
        <f>IF(('Misc Data'!$B$11=3),Anal_Input_2, 0)</f>
        <v>0</v>
      </c>
      <c r="H7" s="133">
        <f>I7</f>
        <v>0</v>
      </c>
      <c r="I7" s="134">
        <f>IF(('Misc Data'!$B$11=4),Anal_Input_2, 0)</f>
        <v>0</v>
      </c>
      <c r="K7" s="45" t="s">
        <v>1564</v>
      </c>
      <c r="L7" s="46">
        <f>D8*SIN(RADIANS(O10))</f>
        <v>94.739579031654245</v>
      </c>
      <c r="N7" s="335" t="s">
        <v>3494</v>
      </c>
      <c r="O7" s="46">
        <f>DEGREES(IF(O6=0,0,ATAN2(O6,O5)))</f>
        <v>15.684088296974029</v>
      </c>
      <c r="Q7" s="29" t="s">
        <v>364</v>
      </c>
      <c r="R7" s="29">
        <f>IF(Axis_Type&lt;&gt;2,D7,IF(Wrist_Down_Fix=1,L7,D8))</f>
        <v>350.4549917612735</v>
      </c>
    </row>
    <row r="8" spans="1:18" ht="14.1" customHeight="1">
      <c r="A8" s="3"/>
      <c r="B8" s="12" t="s">
        <v>365</v>
      </c>
      <c r="C8" s="66">
        <f>VLOOKUP($C$3,Table1,7)</f>
        <v>1333</v>
      </c>
      <c r="D8" s="62">
        <f>HLOOKUP($C$4,$E$4:$H$12,5)</f>
        <v>350.4549917612735</v>
      </c>
      <c r="E8" s="62">
        <f>'Payload Input'!$E$32</f>
        <v>350.4549917612735</v>
      </c>
      <c r="F8" s="62">
        <f>'Payload Input'!$E$32</f>
        <v>350.4549917612735</v>
      </c>
      <c r="G8" s="126">
        <f>IF(('Misc Data'!$B$11=3),Anal_Input_3, 0)</f>
        <v>0</v>
      </c>
      <c r="H8" s="133">
        <f>I8</f>
        <v>0</v>
      </c>
      <c r="I8" s="134">
        <f>IF(('Misc Data'!$B$11=4),Anal_Input_3, 0)</f>
        <v>0</v>
      </c>
      <c r="K8" s="45" t="s">
        <v>3182</v>
      </c>
      <c r="L8" s="46">
        <f>D9*SIN(RADIANS(L5))</f>
        <v>0</v>
      </c>
      <c r="N8" s="335" t="s">
        <v>1493</v>
      </c>
      <c r="O8" s="46">
        <f>O7+L5</f>
        <v>15.684088296974029</v>
      </c>
      <c r="Q8" s="29" t="s">
        <v>365</v>
      </c>
      <c r="R8" s="29">
        <f>IF(Axis_Type&lt;&gt;2,D8,IF(Wrist_Down_Fix=1,L8,D9))</f>
        <v>350.4549917612735</v>
      </c>
    </row>
    <row r="9" spans="1:18" ht="14.1" customHeight="1">
      <c r="B9" s="12" t="s">
        <v>366</v>
      </c>
      <c r="C9" s="66">
        <f>VLOOKUP($C$3,Table1,8)</f>
        <v>706</v>
      </c>
      <c r="D9" s="62">
        <f>HLOOKUP($C$4,$E$4:$H$12,6)</f>
        <v>94.739579031654245</v>
      </c>
      <c r="E9" s="62">
        <f>'Payload Input'!$E$33</f>
        <v>94.739579031654245</v>
      </c>
      <c r="F9" s="62">
        <f>'Payload Input'!$E$33</f>
        <v>94.739579031654245</v>
      </c>
      <c r="G9" s="126">
        <f>IF(('Misc Data'!$B$11=3),Anal_Input_4, 0)</f>
        <v>0</v>
      </c>
      <c r="H9" s="133">
        <f>I9</f>
        <v>0</v>
      </c>
      <c r="I9" s="134">
        <f>IF(('Misc Data'!$B$11=4),Anal_Input_4, 0)</f>
        <v>0</v>
      </c>
      <c r="K9" s="45"/>
      <c r="L9" s="46"/>
      <c r="N9" s="335" t="s">
        <v>2815</v>
      </c>
      <c r="O9" s="46">
        <f>O7-L5</f>
        <v>15.684088296974029</v>
      </c>
      <c r="Q9" s="29" t="s">
        <v>366</v>
      </c>
      <c r="R9" s="29">
        <f>IF(Axis_Count=1,0,D9)</f>
        <v>94.739579031654245</v>
      </c>
    </row>
    <row r="10" spans="1:18" ht="14.1" customHeight="1" thickBot="1">
      <c r="B10" s="12" t="s">
        <v>1914</v>
      </c>
      <c r="C10" s="66">
        <f>VLOOKUP($C$3,Table1,9)</f>
        <v>141.1</v>
      </c>
      <c r="D10" s="62">
        <f>HLOOKUP($C$4,$E$4:$H$12,7)</f>
        <v>34.892586333677698</v>
      </c>
      <c r="E10" s="62">
        <f>'Payload Input'!$E$36</f>
        <v>34.892586333677698</v>
      </c>
      <c r="F10" s="62">
        <f>'Payload Input'!$E$36</f>
        <v>34.892586333677698</v>
      </c>
      <c r="G10" s="126">
        <f>IF(('Misc Data'!$B$11=3),Anal_Input_5, 0)</f>
        <v>0</v>
      </c>
      <c r="H10" s="133">
        <f>I10/H13</f>
        <v>0</v>
      </c>
      <c r="I10" s="134">
        <f>IF(('Misc Data'!$B$11=4),Anal_Input_5, 0)</f>
        <v>0</v>
      </c>
      <c r="K10" s="45" t="s">
        <v>1599</v>
      </c>
      <c r="L10" s="336">
        <f>D11</f>
        <v>34.488284465767762</v>
      </c>
      <c r="N10" s="381" t="s">
        <v>882</v>
      </c>
      <c r="O10" s="48">
        <f>IF(O9&lt;=90,IF(90&lt;=O8,90,O8),O9)</f>
        <v>15.684088296974029</v>
      </c>
      <c r="Q10" s="29" t="s">
        <v>1914</v>
      </c>
      <c r="R10" s="29">
        <f>IF(Axis_Type&lt;&gt;2,D10,IF(Wrist_Down_Fix=1,L10,D11))</f>
        <v>34.892586333677698</v>
      </c>
    </row>
    <row r="11" spans="1:18" ht="14.1" customHeight="1">
      <c r="B11" s="12" t="s">
        <v>1915</v>
      </c>
      <c r="C11" s="66">
        <f>VLOOKUP($C$3,Table1,10)</f>
        <v>141.1</v>
      </c>
      <c r="D11" s="62">
        <f>HLOOKUP($C$4,$E$4:$H$12,8)</f>
        <v>34.488284465767762</v>
      </c>
      <c r="E11" s="62">
        <f>'Payload Input'!$E$37</f>
        <v>34.488284465767762</v>
      </c>
      <c r="F11" s="62">
        <f>'Payload Input'!$E$37</f>
        <v>34.488284465767762</v>
      </c>
      <c r="G11" s="126">
        <f>IF(('Misc Data'!$B$11=3),Anal_Input_6, 0)</f>
        <v>0</v>
      </c>
      <c r="H11" s="133">
        <f>I11/H13</f>
        <v>0</v>
      </c>
      <c r="I11" s="134">
        <f>IF(('Misc Data'!$B$11=4),Anal_Input_6, 0)</f>
        <v>0</v>
      </c>
      <c r="K11" s="45" t="s">
        <v>1060</v>
      </c>
      <c r="L11" s="336">
        <f>D12</f>
        <v>19.77095723160814</v>
      </c>
      <c r="N11" s="129"/>
      <c r="Q11" s="29" t="s">
        <v>1915</v>
      </c>
      <c r="R11" s="29">
        <f>IF(Axis_Type&lt;&gt;2,D11,IF(Wrist_Down_Fix=1,L11,D12))</f>
        <v>34.488284465767762</v>
      </c>
    </row>
    <row r="12" spans="1:18" s="17" customFormat="1" ht="14.1" customHeight="1" thickBot="1">
      <c r="A12" s="4"/>
      <c r="B12" s="14" t="s">
        <v>554</v>
      </c>
      <c r="C12" s="67">
        <f>VLOOKUP($C$3,Table1,11)</f>
        <v>78.400000000000006</v>
      </c>
      <c r="D12" s="79">
        <f>HLOOKUP($C$4,$E$4:$H$12,9)</f>
        <v>19.77095723160814</v>
      </c>
      <c r="E12" s="63">
        <f>'Payload Input'!$E$38</f>
        <v>19.77095723160814</v>
      </c>
      <c r="F12" s="63">
        <f>'Payload Input'!$E$38</f>
        <v>19.77095723160814</v>
      </c>
      <c r="G12" s="127">
        <f>IF(('Misc Data'!$B$11=3),Anal_Input_7, 0)</f>
        <v>0</v>
      </c>
      <c r="H12" s="135">
        <f>I12/H13</f>
        <v>0</v>
      </c>
      <c r="I12" s="136">
        <f>IF(('Misc Data'!$B$11=4),Anal_Input_7, 0)</f>
        <v>0</v>
      </c>
      <c r="K12" s="47"/>
      <c r="L12" s="337"/>
      <c r="M12" s="4"/>
      <c r="N12" s="129"/>
      <c r="O12" s="4"/>
      <c r="P12" s="4"/>
      <c r="Q12" s="29" t="s">
        <v>554</v>
      </c>
      <c r="R12" s="29">
        <f>IF(Axis_Count=1,0,D12)</f>
        <v>19.77095723160814</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39.9</v>
      </c>
      <c r="I20" s="129"/>
      <c r="K20" s="3"/>
      <c r="L20" s="129"/>
      <c r="O20" s="129"/>
      <c r="Q20" s="29" t="s">
        <v>310</v>
      </c>
      <c r="R20" s="331">
        <f>D20</f>
        <v>39.9</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26</v>
      </c>
      <c r="E22" s="292">
        <f>TRUNC(D8/$C$7*100,0)</f>
        <v>26</v>
      </c>
      <c r="F22" s="292">
        <f>TRUNC(L7/$C$7*100,0)</f>
        <v>7</v>
      </c>
      <c r="I22" s="383" t="s">
        <v>493</v>
      </c>
      <c r="L22" s="129"/>
      <c r="N22" s="288"/>
      <c r="O22" s="129"/>
      <c r="Q22" s="49" t="s">
        <v>490</v>
      </c>
      <c r="R22" s="49">
        <f>IF(OR(Anal_Robot_Code=10111,Anal_Robot_Code=10214,Anal_Robot_Code=10215),I22,IF(Axis_Type&lt;&gt;2,D22,IF(Wrist_Down_Fix=1,F22,E22)))</f>
        <v>26</v>
      </c>
    </row>
    <row r="23" spans="1:18" s="3" customFormat="1" ht="14.1" customHeight="1">
      <c r="A23" s="4"/>
      <c r="B23" s="12" t="s">
        <v>491</v>
      </c>
      <c r="C23" s="59"/>
      <c r="D23" s="291">
        <f>IF(Wrist_Down_Fix=1,IF(C8&lt;D8,101,0),TRUNC(D8/$C$8*100,0))</f>
        <v>26</v>
      </c>
      <c r="E23" s="292">
        <f>TRUNC(D9/$C$8*100,0)</f>
        <v>7</v>
      </c>
      <c r="F23" s="292">
        <v>0</v>
      </c>
      <c r="G23" s="383" t="str">
        <f>IF(D23=0,"-","∞")</f>
        <v>∞</v>
      </c>
      <c r="H23" s="4"/>
      <c r="I23" s="4"/>
      <c r="J23" s="4"/>
      <c r="K23" s="4"/>
      <c r="L23" s="129"/>
      <c r="M23" s="4"/>
      <c r="N23" s="4"/>
      <c r="O23" s="129"/>
      <c r="P23" s="4"/>
      <c r="Q23" s="50" t="s">
        <v>491</v>
      </c>
      <c r="R23" s="49">
        <f>IF(Axis_Type&lt;&gt;2,IF(Wrist_Down_Fix=1,G23,D23),IF(Wrist_Down_Fix=1,F23,E23))</f>
        <v>26</v>
      </c>
    </row>
    <row r="24" spans="1:18" ht="14.1" customHeight="1" thickBot="1">
      <c r="B24" s="14" t="s">
        <v>492</v>
      </c>
      <c r="C24" s="60"/>
      <c r="D24" s="275">
        <f>TRUNC(D9/$C$9*100,0)</f>
        <v>13</v>
      </c>
      <c r="L24" s="129"/>
      <c r="N24" s="353"/>
      <c r="O24" s="129"/>
      <c r="Q24" s="42" t="s">
        <v>492</v>
      </c>
      <c r="R24" s="49">
        <f>IF(Axis_Count=1,0,D24)</f>
        <v>13</v>
      </c>
    </row>
    <row r="25" spans="1:18" ht="14.1" customHeight="1">
      <c r="A25" s="3"/>
      <c r="B25" s="25" t="s">
        <v>451</v>
      </c>
      <c r="C25" s="26"/>
      <c r="D25" s="276"/>
      <c r="K25" s="3"/>
      <c r="O25" s="129"/>
      <c r="Q25" s="338" t="s">
        <v>869</v>
      </c>
      <c r="R25" s="65"/>
    </row>
    <row r="26" spans="1:18" ht="14.1" customHeight="1">
      <c r="A26" s="3"/>
      <c r="B26" s="12" t="s">
        <v>490</v>
      </c>
      <c r="C26" s="59">
        <f>ROUND(C10/$G73*100,)</f>
        <v>74</v>
      </c>
      <c r="D26" s="291">
        <f>ROUNDUP(D10/$C10*100,1)</f>
        <v>24.8</v>
      </c>
      <c r="E26" s="292">
        <f>ROUNDUP(D11/$C10*100,1)</f>
        <v>24.5</v>
      </c>
      <c r="F26" s="292">
        <f>ROUNDUP(L10/$C$10*100,1)</f>
        <v>24.5</v>
      </c>
      <c r="L26" s="129"/>
      <c r="O26" s="129"/>
      <c r="Q26" s="49" t="s">
        <v>490</v>
      </c>
      <c r="R26" s="49">
        <f>IF(Axis_Type&lt;&gt;2,D26,IF(Wrist_Down_Fix=1,F26,E26))</f>
        <v>24.8</v>
      </c>
    </row>
    <row r="27" spans="1:18" ht="14.1" customHeight="1">
      <c r="B27" s="12" t="s">
        <v>491</v>
      </c>
      <c r="C27" s="59">
        <f>ROUND(C11/$G74*100,)</f>
        <v>66</v>
      </c>
      <c r="D27" s="291">
        <f>ROUNDUP(D11/$C11*100,1)</f>
        <v>24.5</v>
      </c>
      <c r="E27" s="292">
        <f>ROUNDUP(D12/$C11*100,1)</f>
        <v>14.1</v>
      </c>
      <c r="F27" s="292">
        <f>ROUNDUP(L11/$C11*100,1)</f>
        <v>14.1</v>
      </c>
      <c r="L27" s="129"/>
      <c r="O27" s="129"/>
      <c r="Q27" s="50" t="s">
        <v>491</v>
      </c>
      <c r="R27" s="49">
        <f>IF(Axis_Type&lt;&gt;2,D27,IF(Wrist_Down_Fix=1,F27,E27))</f>
        <v>24.5</v>
      </c>
    </row>
    <row r="28" spans="1:18" s="17" customFormat="1" ht="14.1" customHeight="1" thickBot="1">
      <c r="A28" s="4"/>
      <c r="B28" s="14" t="s">
        <v>492</v>
      </c>
      <c r="C28" s="60">
        <f>ROUND(C12/$G75*100,)</f>
        <v>76</v>
      </c>
      <c r="D28" s="275">
        <f>ROUNDUP(D12/$C12*100,1)</f>
        <v>25.3</v>
      </c>
      <c r="E28" s="4"/>
      <c r="F28" s="4"/>
      <c r="G28" s="4"/>
      <c r="H28" s="4"/>
      <c r="I28" s="4"/>
      <c r="J28" s="4"/>
      <c r="K28" s="4"/>
      <c r="L28" s="129"/>
      <c r="M28" s="4"/>
      <c r="N28" s="4"/>
      <c r="O28" s="4"/>
      <c r="P28" s="4"/>
      <c r="Q28" s="42" t="s">
        <v>492</v>
      </c>
      <c r="R28" s="42">
        <f>IF(Axis_Count=1,0,D28)</f>
        <v>25.3</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1911.5099999999998</v>
      </c>
      <c r="D65" s="33">
        <f>D7+(D10*$D$73)</f>
        <v>493.5145957293521</v>
      </c>
      <c r="E65" s="311">
        <f>D8+(D11*$D$73)</f>
        <v>491.85695807092134</v>
      </c>
      <c r="F65" s="40"/>
      <c r="G65" s="40"/>
      <c r="K65" s="129"/>
      <c r="L65" s="40"/>
      <c r="M65" s="40"/>
    </row>
    <row r="66" spans="1:18" s="3" customFormat="1" ht="14.1" customHeight="1">
      <c r="A66" s="4"/>
      <c r="B66" s="29" t="s">
        <v>491</v>
      </c>
      <c r="C66" s="33">
        <f xml:space="preserve"> C8+(C11*$D$74)</f>
        <v>1726.6689999999999</v>
      </c>
      <c r="D66" s="33">
        <f xml:space="preserve"> D8+(D11*$D$74)</f>
        <v>446.67730542076555</v>
      </c>
      <c r="E66" s="311">
        <f xml:space="preserve"> D9+(D12*$D$74)</f>
        <v>149.90054970784095</v>
      </c>
      <c r="F66" s="40"/>
      <c r="G66" s="40"/>
      <c r="H66" s="4"/>
      <c r="I66" s="4"/>
      <c r="J66" s="4"/>
      <c r="K66" s="129"/>
      <c r="L66" s="40"/>
      <c r="M66" s="40"/>
      <c r="N66" s="4"/>
      <c r="O66" s="4"/>
      <c r="P66" s="4"/>
      <c r="Q66" s="4"/>
      <c r="R66" s="4"/>
    </row>
    <row r="67" spans="1:18" ht="14.1" customHeight="1">
      <c r="B67" s="29" t="s">
        <v>492</v>
      </c>
      <c r="C67" s="33">
        <f>C9+(C12*$D$75)</f>
        <v>935.71199999999999</v>
      </c>
      <c r="D67" s="33">
        <f>D9+(D12*$D$75)</f>
        <v>152.6684837202661</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207</v>
      </c>
      <c r="D73" s="29">
        <f>VLOOKUP($C73,Table2,2)</f>
        <v>4.0999999999999996</v>
      </c>
      <c r="E73" s="29">
        <f>VLOOKUP($C73,Table2,3)</f>
        <v>1912</v>
      </c>
      <c r="F73" s="29">
        <f>VLOOKUP($C73,Table2,4)</f>
        <v>1333</v>
      </c>
      <c r="G73" s="29">
        <f>VLOOKUP($C73,Table2,5)</f>
        <v>190</v>
      </c>
      <c r="K73" s="129"/>
      <c r="L73" s="354"/>
      <c r="M73" s="129"/>
    </row>
    <row r="74" spans="1:18" ht="14.1" customHeight="1">
      <c r="B74" s="29" t="s">
        <v>491</v>
      </c>
      <c r="C74" s="29">
        <f>VLOOKUP($C$3,Table1,4)</f>
        <v>208</v>
      </c>
      <c r="D74" s="29">
        <f>VLOOKUP($C74,Table2,2)</f>
        <v>2.79</v>
      </c>
      <c r="E74" s="29">
        <f>VLOOKUP($C74,Table2,3)</f>
        <v>1727</v>
      </c>
      <c r="F74" s="29">
        <f>VLOOKUP($C74,Table2,4)</f>
        <v>1333</v>
      </c>
      <c r="G74" s="29">
        <f>VLOOKUP($C74,Table2,5)</f>
        <v>215</v>
      </c>
      <c r="K74" s="354"/>
      <c r="L74" s="354"/>
      <c r="M74" s="129"/>
    </row>
    <row r="75" spans="1:18" ht="14.1" customHeight="1">
      <c r="B75" s="29" t="s">
        <v>492</v>
      </c>
      <c r="C75" s="29">
        <f>VLOOKUP($C$3,Table1,5)</f>
        <v>209</v>
      </c>
      <c r="D75" s="29">
        <f>VLOOKUP($C75,Table2,2)</f>
        <v>2.93</v>
      </c>
      <c r="E75" s="29">
        <f>VLOOKUP($C75,Table2,3)</f>
        <v>936</v>
      </c>
      <c r="F75" s="29">
        <f>VLOOKUP($C75,Table2,4)</f>
        <v>706</v>
      </c>
      <c r="G75" s="29">
        <f>VLOOKUP($C75,Table2,5)</f>
        <v>103</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10001</v>
      </c>
      <c r="C26" s="83" t="str">
        <f>VLOOKUP(B26,Robotlist,2, FALSE)</f>
        <v>R-2000iB/210F</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85.43</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-8.6199999999999992</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7.3319999999999999</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16.800999999999998</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32.601999999999997</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203.684</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190.58199999999999</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10001</v>
      </c>
      <c r="C3" s="171" t="str">
        <f>VLOOKUP(B3,Robotlist,2, FALSE)</f>
        <v>R-2000iB/210F</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39.9</v>
      </c>
      <c r="D9" s="1">
        <v>0</v>
      </c>
      <c r="E9" s="1">
        <f>IF(H9&gt;$F$8, $F$8-$E$8, IF(H9&gt;$E$8, H9-$E$8, 0))</f>
        <v>0</v>
      </c>
      <c r="F9" s="1">
        <f>IF(H9&gt;$F$8, H9-$F$8, 0)</f>
        <v>0</v>
      </c>
      <c r="H9" s="1">
        <f>'Wrist Load Analysis'!R20</f>
        <v>39.9</v>
      </c>
    </row>
    <row r="11" spans="1:8">
      <c r="A11" s="1" t="s">
        <v>348</v>
      </c>
      <c r="B11" s="1" t="s">
        <v>2344</v>
      </c>
      <c r="C11" s="1">
        <f>IF(H11&gt;$E$8, $E$8, H11)</f>
        <v>26</v>
      </c>
      <c r="D11" s="1">
        <v>0</v>
      </c>
      <c r="E11" s="1">
        <f>IF(H11&gt;$F$8, $F$8-$E$8, IF(H11&gt;$E$8, H11-$E$8, 0))</f>
        <v>0</v>
      </c>
      <c r="F11" s="1">
        <f>IF(H11&gt;$F$8, H11-$F$8, 0)</f>
        <v>0</v>
      </c>
      <c r="H11" s="1">
        <f>IF(Anal_Robot_Code=10111,0,'Wrist Load Analysis'!R22)</f>
        <v>26</v>
      </c>
    </row>
    <row r="12" spans="1:8">
      <c r="B12" s="1" t="s">
        <v>1618</v>
      </c>
      <c r="C12" s="1">
        <f>IF(H12&gt;$E$8, $E$8, H12)</f>
        <v>26</v>
      </c>
      <c r="D12" s="1">
        <v>0</v>
      </c>
      <c r="E12" s="1">
        <f>IF(H12&gt;$F$8, $F$8-$E$8, IF(H12&gt;$E$8, H12-$E$8, 0))</f>
        <v>0</v>
      </c>
      <c r="F12" s="1">
        <f>IF(H12&gt;$F$8, H12-$F$8, 0)</f>
        <v>0</v>
      </c>
      <c r="H12" s="1">
        <f>'Wrist Load Analysis'!R23</f>
        <v>26</v>
      </c>
    </row>
    <row r="13" spans="1:8">
      <c r="B13" s="1" t="str">
        <f>IF(Axis_Count=1,"","J6")</f>
        <v>J6</v>
      </c>
      <c r="C13" s="1">
        <f>IF(H13&gt;$E$8, $E$8, H13)</f>
        <v>13</v>
      </c>
      <c r="D13" s="1">
        <v>0</v>
      </c>
      <c r="E13" s="1">
        <f>IF(H13&gt;$F$8, $F$8-$E$8, IF(H13&gt;$E$8, H13-$E$8, 0))</f>
        <v>0</v>
      </c>
      <c r="F13" s="1">
        <f>IF(H13&gt;$F$8, H13-$F$8, 0)</f>
        <v>0</v>
      </c>
      <c r="H13" s="1">
        <f>'Wrist Load Analysis'!R24</f>
        <v>13</v>
      </c>
    </row>
    <row r="15" spans="1:8">
      <c r="A15" s="1" t="s">
        <v>488</v>
      </c>
      <c r="B15" s="1" t="s">
        <v>2344</v>
      </c>
      <c r="C15" s="1">
        <f>IF(H15&gt;E8, E8, H15)</f>
        <v>24.8</v>
      </c>
      <c r="D15" s="1">
        <v>0</v>
      </c>
      <c r="E15" s="1">
        <f>IF(H15&gt;$F$8, $F$8-$E$8, IF(H15&gt;$E$8, H15-$E$8, 0))</f>
        <v>0</v>
      </c>
      <c r="F15" s="1">
        <f>IF(H15&gt;$F$8, H15-$F$8, 0)</f>
        <v>0</v>
      </c>
      <c r="H15" s="1">
        <f>'Wrist Load Analysis'!R26</f>
        <v>24.8</v>
      </c>
    </row>
    <row r="16" spans="1:8">
      <c r="B16" s="1" t="s">
        <v>1618</v>
      </c>
      <c r="C16" s="1">
        <f>IF(H16&gt;E8, E8, H16)</f>
        <v>24.5</v>
      </c>
      <c r="D16" s="1">
        <v>0</v>
      </c>
      <c r="E16" s="1">
        <f>IF(H16&gt;$F$8, $F$8-$E$8, IF(H16&gt;$E$8, H16-$E$8, 0))</f>
        <v>0</v>
      </c>
      <c r="F16" s="1">
        <f>IF(H16&gt;$F$8, H16-$F$8, 0)</f>
        <v>0</v>
      </c>
      <c r="H16" s="1">
        <f>'Wrist Load Analysis'!R27</f>
        <v>24.5</v>
      </c>
    </row>
    <row r="17" spans="1:16">
      <c r="B17" s="1" t="str">
        <f>IF(Axis_Count=1,"","J6")</f>
        <v>J6</v>
      </c>
      <c r="C17" s="1">
        <f>IF(H17&gt;E8, E8, H17)</f>
        <v>25.3</v>
      </c>
      <c r="D17" s="1">
        <v>0</v>
      </c>
      <c r="E17" s="1">
        <f>IF(H17&gt;$F$8, $F$8-$E$8, IF(H17&gt;$E$8, H17-$E$8, 0))</f>
        <v>0</v>
      </c>
      <c r="F17" s="1">
        <f>IF(H17&gt;$F$8, H17-$F$8, 0)</f>
        <v>0</v>
      </c>
      <c r="H17" s="1">
        <f>'Wrist Load Analysis'!R28</f>
        <v>25.3</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207</v>
      </c>
      <c r="D25" s="1">
        <f>VLOOKUP($B$3,Table1,6)</f>
        <v>1333</v>
      </c>
      <c r="E25" s="1">
        <f>VLOOKUP($B$3,Table1,9)</f>
        <v>141.1</v>
      </c>
      <c r="F25" s="172">
        <f>'Wrist Load Analysis'!R7</f>
        <v>350.4549917612735</v>
      </c>
      <c r="G25" s="172">
        <f>'Wrist Load Analysis'!R10</f>
        <v>34.892586333677698</v>
      </c>
      <c r="H25" s="1">
        <f>VLOOKUP($C25,Table2,2)</f>
        <v>4.0999999999999996</v>
      </c>
      <c r="I25" s="1">
        <f>VLOOKUP($C25,Table2,3)</f>
        <v>1912</v>
      </c>
      <c r="J25" s="1">
        <f>VLOOKUP($C25,Table2,4)</f>
        <v>1333</v>
      </c>
      <c r="K25" s="1">
        <f>VLOOKUP($C25,Table2,5)</f>
        <v>190</v>
      </c>
      <c r="L25" s="114">
        <f>I25-(K25*H25)</f>
        <v>1133</v>
      </c>
      <c r="M25" s="1">
        <v>0</v>
      </c>
      <c r="N25" s="1">
        <f>D25</f>
        <v>1333</v>
      </c>
      <c r="O25" s="1">
        <f t="shared" ref="O25:P27" si="0">M25*$P$23</f>
        <v>0</v>
      </c>
      <c r="P25" s="1">
        <f t="shared" si="0"/>
        <v>1199.7</v>
      </c>
    </row>
    <row r="26" spans="1:16">
      <c r="F26" s="172"/>
      <c r="G26" s="172"/>
      <c r="L26" s="114"/>
      <c r="M26" s="1">
        <f>E25</f>
        <v>141.1</v>
      </c>
      <c r="N26" s="1">
        <f>N25</f>
        <v>1333</v>
      </c>
      <c r="O26" s="1">
        <f t="shared" si="0"/>
        <v>126.99</v>
      </c>
      <c r="P26" s="1">
        <f t="shared" si="0"/>
        <v>1199.7</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208</v>
      </c>
      <c r="D29" s="1">
        <f>VLOOKUP($B$3,Table1,7)</f>
        <v>1333</v>
      </c>
      <c r="E29" s="1">
        <f>VLOOKUP($B$3,Table1,10)</f>
        <v>141.1</v>
      </c>
      <c r="F29" s="172">
        <f>'Wrist Load Analysis'!R8</f>
        <v>350.4549917612735</v>
      </c>
      <c r="G29" s="172">
        <f>'Wrist Load Analysis'!R11</f>
        <v>34.488284465767762</v>
      </c>
      <c r="H29" s="1">
        <f>VLOOKUP($C29,Table2,2)</f>
        <v>2.79</v>
      </c>
      <c r="I29" s="1">
        <f>VLOOKUP($C29,Table2,3)</f>
        <v>1727</v>
      </c>
      <c r="J29" s="1">
        <f>VLOOKUP($C29,Table2,4)</f>
        <v>1333</v>
      </c>
      <c r="K29" s="1">
        <f>VLOOKUP($C29,Table2,5)</f>
        <v>215</v>
      </c>
      <c r="L29" s="114">
        <f>I29-(K29*H29)</f>
        <v>1127.1500000000001</v>
      </c>
      <c r="M29" s="1">
        <v>0</v>
      </c>
      <c r="N29" s="1">
        <f>D29</f>
        <v>1333</v>
      </c>
      <c r="O29" s="1">
        <f t="shared" ref="O29:P31" si="1">M29*$P$23</f>
        <v>0</v>
      </c>
      <c r="P29" s="1">
        <f t="shared" si="1"/>
        <v>1199.7</v>
      </c>
    </row>
    <row r="30" spans="1:16">
      <c r="F30" s="172"/>
      <c r="G30" s="172"/>
      <c r="L30" s="114"/>
      <c r="M30" s="1">
        <f>E29</f>
        <v>141.1</v>
      </c>
      <c r="N30" s="1">
        <f>N29</f>
        <v>1333</v>
      </c>
      <c r="O30" s="1">
        <f t="shared" si="1"/>
        <v>126.99</v>
      </c>
      <c r="P30" s="1">
        <f t="shared" si="1"/>
        <v>1199.7</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209</v>
      </c>
      <c r="D33" s="1">
        <f>VLOOKUP($B$3,Table1,8)</f>
        <v>706</v>
      </c>
      <c r="E33" s="1">
        <f>VLOOKUP($B$3,Table1,11)</f>
        <v>78.400000000000006</v>
      </c>
      <c r="F33" s="172">
        <f>'Wrist Load Analysis'!R9</f>
        <v>94.739579031654245</v>
      </c>
      <c r="G33" s="172">
        <f>'Wrist Load Analysis'!R12</f>
        <v>19.77095723160814</v>
      </c>
      <c r="H33" s="1">
        <f>VLOOKUP($C33,Table2,2)</f>
        <v>2.93</v>
      </c>
      <c r="I33" s="1">
        <f>VLOOKUP($C33,Table2,3)</f>
        <v>936</v>
      </c>
      <c r="J33" s="1">
        <f>VLOOKUP($C33,Table2,4)</f>
        <v>706</v>
      </c>
      <c r="K33" s="1">
        <f>VLOOKUP($C33,Table2,5)</f>
        <v>103</v>
      </c>
      <c r="L33" s="114">
        <f>I33-(K33*H33)</f>
        <v>634.21</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TXfZmS3Xr/clraFKTRdJCnlxO5cw0+7A1H1E1yey5I5lWlbZXOxD6mjkMK9CmqBrV69/B0EY+hF14llP2JMcFQ==" saltValue="lP2o9vBMzVd9vr+JZRYUe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2024-07-17T13:46:46Z</dcterms:modified>
</cp:coreProperties>
</file>