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_LONG_DIANT_GRIPPER_ST_1450_LH_RH\OS_0569_DMS_Z_DETALHAMENTO\66-30D_350562______________________A03_ZSB_GREIFER_1450\PAYLOAD\"/>
    </mc:Choice>
  </mc:AlternateContent>
  <xr:revisionPtr revIDLastSave="0" documentId="13_ncr:1_{419FFA98-F6FD-4287-B095-AD57ED2374C5}" xr6:coauthVersionLast="47" xr6:coauthVersionMax="47" xr10:uidLastSave="{00000000-0000-0000-0000-000000000000}"/>
  <workbookProtection workbookAlgorithmName="SHA-512" workbookHashValue="4ksoDkaJGMEkFu0g3L9UVWZTtAuqnL7Gnu1LmM+WDsjP+ryr0kkj3PNvCbNUoXcxv1qXDXzBclHYUSL+l1AZbg==" workbookSaltValue="LyoUs6G1cyk389WpFujVZ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C8" i="30"/>
  <c r="J9" i="37" l="1"/>
  <c r="K7" i="37"/>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P33" i="60" l="1"/>
  <c r="M35" i="60"/>
  <c r="O35" i="60" s="1"/>
  <c r="P25" i="60"/>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J52" i="37" s="1"/>
  <c r="L53" i="37"/>
  <c r="L52" i="37"/>
  <c r="AG17" i="62"/>
  <c r="AH17" i="62"/>
  <c r="F8" i="39"/>
  <c r="J54" i="37"/>
  <c r="J48" i="37"/>
  <c r="F9" i="39"/>
  <c r="D20" i="39"/>
  <c r="D34" i="39" s="1"/>
  <c r="O10" i="39"/>
  <c r="L7" i="39" s="1"/>
  <c r="F22"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J74" i="37"/>
  <c r="K74" i="37"/>
  <c r="L74" i="37" s="1"/>
  <c r="J84" i="37"/>
  <c r="K84" i="37"/>
  <c r="L84" i="37" s="1"/>
  <c r="I85" i="37"/>
  <c r="H85" i="37"/>
  <c r="G85" i="37"/>
  <c r="H73" i="37"/>
  <c r="I73" i="37"/>
  <c r="G73" i="37"/>
  <c r="C90" i="37" l="1"/>
  <c r="D90" i="37"/>
  <c r="K37" i="37"/>
  <c r="E90" i="37"/>
  <c r="F90" i="37"/>
  <c r="J85" i="37"/>
  <c r="K85" i="37"/>
  <c r="L85" i="37" s="1"/>
  <c r="J73" i="37"/>
  <c r="J43" i="37" s="1"/>
  <c r="K73" i="37"/>
  <c r="L73" i="37" s="1"/>
  <c r="L90" i="37" l="1"/>
  <c r="G90" i="37"/>
  <c r="H90" i="37"/>
  <c r="K90" i="37"/>
  <c r="I37" i="37" s="1"/>
  <c r="E37" i="37" s="1"/>
  <c r="I90" i="37"/>
  <c r="H36" i="37"/>
  <c r="O63" i="37"/>
  <c r="O65" i="37" s="1"/>
  <c r="E11" i="39" l="1"/>
  <c r="D11" i="39" s="1"/>
  <c r="F11" i="39"/>
  <c r="J90" i="37"/>
  <c r="Q65" i="37"/>
  <c r="P65" i="37"/>
  <c r="D66" i="39" l="1"/>
  <c r="D27" i="39"/>
  <c r="E26" i="39"/>
  <c r="E65" i="39"/>
  <c r="L10" i="39"/>
  <c r="D47" i="39"/>
  <c r="E46" i="39"/>
  <c r="R11" i="39"/>
  <c r="T65" i="37"/>
  <c r="Y65" i="37" s="1"/>
  <c r="V65" i="37"/>
  <c r="W65" i="37"/>
  <c r="S65" i="37"/>
  <c r="X65" i="37" s="1"/>
  <c r="R65" i="37"/>
  <c r="U65" i="37"/>
  <c r="F46" i="39" l="1"/>
  <c r="F26" i="39"/>
  <c r="G29" i="60"/>
  <c r="D27" i="30"/>
  <c r="E39" i="39"/>
  <c r="E57" i="39"/>
  <c r="D58" i="39"/>
  <c r="R27" i="39"/>
  <c r="D40" i="39"/>
  <c r="Z65" i="37"/>
  <c r="AA65" i="37"/>
  <c r="F57" i="39" l="1"/>
  <c r="F39" i="39"/>
  <c r="H27" i="30"/>
  <c r="H16" i="60"/>
  <c r="AB65" i="37"/>
  <c r="O66" i="37" s="1"/>
  <c r="Q66" i="37" s="1"/>
  <c r="C16" i="60" l="1"/>
  <c r="E16" i="60"/>
  <c r="F16" i="60"/>
  <c r="P66" i="37"/>
  <c r="V66" i="37" s="1"/>
  <c r="S66" i="37" l="1"/>
  <c r="X66" i="37" s="1"/>
  <c r="U66" i="37"/>
  <c r="W66" i="37"/>
  <c r="R66" i="37"/>
  <c r="T66" i="37"/>
  <c r="Y66" i="37" s="1"/>
  <c r="AA66" i="37" s="1"/>
  <c r="Z66" i="37" l="1"/>
  <c r="AB66" i="37" s="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AA68" i="37" s="1"/>
  <c r="V68" i="37"/>
  <c r="Z68" i="37" s="1"/>
  <c r="AB68" i="37" l="1"/>
  <c r="O69" i="37" s="1"/>
  <c r="Q69" i="37" s="1"/>
  <c r="P69" i="37" l="1"/>
  <c r="U69" i="37" s="1"/>
  <c r="T69" i="37" l="1"/>
  <c r="Y69" i="37" s="1"/>
  <c r="W69" i="37"/>
  <c r="S69" i="37"/>
  <c r="X69" i="37" s="1"/>
  <c r="V69" i="37"/>
  <c r="R69" i="37"/>
  <c r="AA69" i="37" l="1"/>
  <c r="Z69" i="37"/>
  <c r="AB69" i="37" l="1"/>
  <c r="O70" i="37" s="1"/>
  <c r="N63" i="37" s="1"/>
  <c r="B89" i="37" s="1"/>
  <c r="F89" i="37" s="1"/>
  <c r="P70" i="37" l="1"/>
  <c r="K36" i="37"/>
  <c r="C89" i="37"/>
  <c r="K89" i="37" s="1"/>
  <c r="Q70" i="37"/>
  <c r="R70" i="37" s="1"/>
  <c r="E89" i="37"/>
  <c r="D89" i="37"/>
  <c r="V70" i="37"/>
  <c r="S70" i="37"/>
  <c r="X70" i="37" s="1"/>
  <c r="G89" i="37"/>
  <c r="T70" i="37"/>
  <c r="Y70" i="37" s="1"/>
  <c r="U70" i="37"/>
  <c r="L89" i="37" l="1"/>
  <c r="W70" i="37"/>
  <c r="H89" i="37"/>
  <c r="N89" i="37" s="1"/>
  <c r="I89" i="37"/>
  <c r="J89" i="37" s="1"/>
  <c r="I36" i="37" s="1"/>
  <c r="E36" i="37" s="1"/>
  <c r="F10" i="39" s="1"/>
  <c r="Z70" i="37"/>
  <c r="AA70" i="37"/>
  <c r="AB70" i="37" s="1"/>
  <c r="J36" i="37" l="1"/>
  <c r="O89" i="37"/>
  <c r="E10" i="39"/>
  <c r="D10" i="39" s="1"/>
  <c r="D26" i="39" s="1"/>
  <c r="R10" i="39" l="1"/>
  <c r="G25" i="60" s="1"/>
  <c r="D65" i="39"/>
  <c r="D46" i="39"/>
  <c r="D49" i="39" s="1"/>
  <c r="F49" i="39"/>
  <c r="E49" i="39"/>
  <c r="D39" i="39"/>
  <c r="D57" i="39"/>
  <c r="R26" i="39"/>
  <c r="D26" i="30" l="1"/>
  <c r="D60" i="39"/>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<sst xmlns="http://schemas.openxmlformats.org/spreadsheetml/2006/main" count="6683" uniqueCount="4044">
  <si>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</si>
  <si>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</si>
  <si>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</si>
  <si>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</si>
  <si>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</si>
  <si>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</si>
  <si>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</si>
  <si>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</si>
  <si>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</si>
  <si>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</si>
  <si>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</si>
  <si>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</si>
  <si>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</si>
  <si>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</si>
  <si>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</si>
  <si>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</si>
  <si>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</si>
  <si>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</si>
  <si>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</si>
  <si>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</si>
  <si>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</si>
  <si>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</si>
  <si>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</si>
  <si>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</si>
  <si>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</si>
  <si>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</si>
  <si>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</si>
  <si>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</si>
  <si>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</si>
  <si>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</si>
  <si>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</si>
  <si>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</si>
  <si>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</si>
  <si>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</si>
  <si>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</si>
  <si>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</si>
  <si>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</si>
  <si>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</si>
  <si>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</si>
  <si>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</si>
  <si>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</si>
  <si>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</si>
  <si>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</si>
  <si>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</si>
  <si>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</si>
  <si>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</si>
  <si>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</si>
  <si>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</si>
  <si>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</si>
  <si>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</si>
  <si>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</si>
  <si>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</si>
  <si>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</si>
  <si>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</si>
  <si>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</si>
  <si>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</si>
  <si>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</si>
  <si>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</si>
  <si>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</si>
  <si>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</si>
  <si>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</si>
  <si>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</si>
  <si>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</si>
  <si>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</si>
  <si>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</si>
  <si>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</si>
  <si>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</si>
  <si>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</si>
  <si>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</si>
  <si>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</si>
  <si>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</si>
  <si>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</si>
  <si>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</si>
  <si>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</si>
  <si>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</si>
  <si>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</si>
  <si>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</si>
  <si>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</si>
  <si>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</si>
  <si>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</si>
  <si>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</si>
  <si>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</si>
  <si>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</si>
  <si>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</si>
  <si>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</si>
  <si>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</si>
  <si>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</si>
  <si>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</si>
  <si>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</si>
  <si>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</si>
  <si>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</si>
  <si>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</si>
  <si>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</si>
  <si>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</si>
  <si>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</si>
  <si>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</si>
  <si>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</si>
  <si>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</si>
  <si>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</si>
  <si>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</si>
  <si>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</si>
  <si>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</si>
  <si>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</si>
  <si>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</si>
  <si>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</si>
  <si>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</si>
  <si>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</si>
  <si>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</si>
  <si>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</si>
  <si>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</si>
  <si>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</si>
  <si>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</si>
  <si>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</si>
  <si>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</si>
  <si>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</si>
  <si>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</si>
  <si>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</si>
  <si>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</si>
  <si>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</si>
  <si>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</si>
  <si>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</si>
  <si>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</si>
  <si>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</si>
  <si>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</si>
  <si>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</si>
  <si>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</si>
  <si>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</si>
  <si>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</si>
  <si>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</si>
  <si>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</si>
  <si>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</si>
  <si>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</si>
  <si>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</si>
  <si>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</si>
  <si>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</si>
  <si>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</si>
  <si>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</si>
  <si>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</si>
  <si>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</si>
  <si>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</si>
  <si>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</si>
  <si>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</si>
  <si>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</si>
  <si>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</si>
  <si>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</si>
  <si>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</si>
  <si>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</si>
  <si>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</si>
  <si>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</si>
  <si>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</si>
  <si>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</si>
  <si>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</si>
  <si>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</si>
  <si>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</si>
  <si>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</si>
  <si>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</si>
  <si>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</si>
  <si>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</si>
  <si>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</si>
  <si>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</si>
  <si>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</si>
  <si>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</si>
  <si>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</si>
  <si>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</si>
  <si>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</si>
  <si>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</si>
  <si>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</si>
  <si>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</si>
  <si>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</si>
  <si>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</si>
  <si>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</si>
  <si>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</si>
  <si>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</si>
  <si>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</si>
  <si>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</si>
  <si>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</si>
  <si>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</si>
  <si>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</si>
  <si>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</si>
  <si>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</si>
  <si>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</si>
  <si>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</si>
  <si>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</si>
  <si>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</si>
  <si>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</si>
  <si>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</si>
  <si>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</si>
  <si>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</si>
  <si>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</si>
  <si>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</si>
  <si>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</si>
  <si>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</si>
  <si>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</si>
  <si>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</si>
  <si>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</si>
  <si>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</si>
  <si>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</si>
  <si>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</si>
  <si>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</si>
  <si>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</si>
  <si>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</si>
  <si>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</si>
  <si>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</si>
  <si>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</si>
  <si>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</si>
  <si>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</si>
  <si>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</si>
  <si>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</si>
  <si>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</si>
  <si>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</si>
  <si>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</si>
  <si>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</si>
  <si>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</si>
  <si>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</si>
  <si>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</si>
  <si>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</si>
  <si>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</si>
  <si>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</si>
  <si>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</si>
  <si>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</si>
  <si>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</si>
  <si>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</si>
  <si>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</si>
  <si>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</si>
  <si>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</si>
  <si>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</si>
  <si>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</si>
  <si>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</si>
  <si>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</si>
  <si>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</si>
  <si>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</si>
  <si>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</si>
  <si>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</si>
  <si>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</si>
  <si>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</si>
  <si>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</si>
  <si>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</si>
  <si>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</si>
  <si>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</si>
  <si>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</si>
  <si>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</si>
  <si>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</si>
  <si>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</si>
  <si>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</si>
  <si>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</si>
  <si>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</si>
  <si>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</si>
  <si>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</si>
  <si>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</si>
  <si>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</si>
  <si>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</si>
  <si>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</si>
  <si>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</si>
  <si>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</si>
  <si>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</si>
  <si>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</si>
  <si>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</si>
  <si>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</si>
  <si>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</si>
  <si>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</si>
  <si>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</si>
  <si>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</si>
  <si>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</si>
  <si>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</si>
  <si>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</si>
  <si>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</si>
  <si>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</si>
  <si>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</si>
  <si>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</si>
  <si>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</si>
  <si>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</si>
  <si>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</si>
  <si>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</si>
  <si>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</si>
  <si>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</si>
  <si>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</si>
  <si>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</si>
  <si>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</si>
  <si>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</si>
  <si>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</si>
  <si>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</si>
  <si>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</si>
  <si>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</si>
  <si>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</si>
  <si>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</si>
  <si>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</si>
  <si>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</si>
  <si>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</si>
  <si>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</si>
  <si>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</si>
  <si>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</si>
  <si>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</si>
  <si>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</si>
  <si>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</si>
  <si>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</si>
  <si>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</si>
  <si>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</si>
  <si>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</si>
  <si>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</si>
  <si>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</si>
  <si>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</si>
  <si>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</si>
  <si>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</si>
  <si>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</si>
  <si>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</si>
  <si>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</si>
  <si>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</si>
  <si>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</si>
  <si>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</si>
  <si>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</si>
  <si>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</si>
  <si>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</si>
  <si>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</si>
  <si>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</si>
  <si>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</si>
  <si>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</si>
  <si>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</si>
  <si>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</si>
  <si>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</si>
  <si>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</si>
  <si>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</si>
  <si>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</si>
  <si>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</si>
  <si>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</si>
  <si>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</si>
  <si>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</si>
  <si>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</si>
  <si>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</si>
  <si>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</si>
  <si>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</si>
  <si>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</si>
  <si>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</si>
  <si>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</si>
  <si>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</si>
  <si>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</si>
  <si>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</si>
  <si>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</si>
  <si>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</si>
  <si>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</si>
  <si>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</si>
  <si>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</si>
  <si>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</si>
  <si>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</si>
  <si>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</si>
  <si>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</si>
  <si>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</si>
  <si>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</si>
  <si>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</si>
  <si>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</si>
  <si>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</si>
  <si>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</si>
  <si>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</si>
  <si>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</si>
  <si>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</si>
  <si>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</si>
  <si>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</si>
  <si>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</si>
  <si>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</si>
  <si>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</si>
  <si>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</si>
  <si>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</si>
  <si>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</si>
  <si>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</si>
  <si>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</si>
  <si>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</si>
  <si>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</si>
  <si>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</si>
  <si>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</si>
  <si>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</si>
  <si>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</si>
  <si>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</si>
  <si>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</si>
  <si>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</si>
  <si>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</si>
  <si>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</si>
  <si>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</si>
  <si>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</si>
  <si>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</si>
  <si>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</si>
  <si>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</si>
  <si>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</si>
  <si>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</si>
  <si>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</si>
  <si>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</si>
  <si>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</si>
  <si>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</si>
  <si>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</si>
  <si>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</si>
  <si>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</si>
  <si>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</si>
  <si>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</si>
  <si>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</si>
  <si>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</si>
  <si>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</si>
  <si>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</si>
  <si>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</si>
  <si>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</si>
  <si>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</si>
  <si>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</si>
  <si>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</si>
  <si>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</si>
  <si>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</si>
  <si>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</si>
  <si>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</si>
  <si>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</si>
  <si>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</si>
  <si>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</si>
  <si>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</si>
  <si>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</si>
  <si>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</si>
  <si>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</si>
  <si>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</si>
  <si>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</si>
  <si>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</si>
  <si>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</si>
  <si>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</si>
  <si>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</si>
  <si>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</si>
  <si>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</si>
  <si>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</si>
  <si>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</si>
  <si>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</si>
  <si>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</si>
  <si>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</si>
  <si>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</si>
  <si>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</si>
  <si>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</si>
  <si>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</si>
  <si>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</si>
  <si>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</si>
  <si>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</si>
  <si>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</si>
  <si>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</si>
  <si>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</si>
  <si>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</si>
  <si>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</si>
  <si>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</si>
  <si>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</si>
  <si>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</si>
  <si>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</si>
  <si>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</si>
  <si>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</si>
  <si>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</si>
  <si>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</si>
  <si>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</si>
  <si>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</si>
  <si>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</si>
  <si>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</si>
  <si>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</si>
  <si>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</si>
  <si>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</si>
  <si>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</si>
  <si>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</si>
  <si>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</si>
  <si>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</si>
  <si>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</si>
  <si>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</si>
  <si>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</si>
  <si>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</si>
  <si>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</si>
  <si>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</si>
  <si>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</si>
  <si>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</si>
  <si>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</si>
  <si>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</si>
  <si>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</si>
  <si>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</si>
  <si>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</si>
  <si>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</si>
  <si>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</si>
  <si>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</si>
  <si>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</si>
  <si>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</si>
  <si>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</si>
  <si>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</si>
  <si>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</si>
  <si>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</si>
  <si>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</si>
  <si>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</si>
  <si>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</si>
  <si>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</si>
  <si>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</si>
  <si>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</si>
  <si>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</si>
  <si>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</si>
  <si>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</si>
  <si>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</si>
  <si>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</si>
  <si>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</si>
  <si>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</si>
  <si>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</si>
  <si>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</si>
  <si>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</si>
  <si>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</si>
  <si>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</si>
  <si>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</si>
  <si>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</si>
  <si>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</si>
  <si>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</si>
  <si>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</si>
  <si>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</si>
  <si>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</si>
  <si>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</si>
  <si>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</si>
  <si>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</si>
  <si>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</si>
  <si>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</si>
  <si>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</si>
  <si>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</si>
  <si>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</si>
  <si>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</si>
  <si>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</si>
  <si>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</si>
  <si>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</si>
  <si>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</si>
  <si>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</si>
  <si>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</si>
  <si>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</si>
  <si>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</si>
  <si>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</si>
  <si>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</si>
  <si>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</si>
  <si>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</si>
  <si>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</si>
  <si>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</si>
  <si>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</si>
  <si>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</si>
  <si>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</si>
  <si>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</si>
  <si>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</si>
  <si>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</si>
  <si>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</si>
  <si>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</si>
  <si>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</si>
  <si>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</si>
  <si>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</si>
  <si>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</si>
  <si>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</si>
  <si>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</si>
  <si>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</si>
  <si>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</si>
  <si>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</si>
  <si>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</si>
  <si>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</si>
  <si>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</si>
  <si>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</si>
  <si>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</si>
  <si>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</si>
  <si>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</si>
  <si>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</si>
  <si>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</si>
  <si>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</si>
  <si>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</si>
  <si>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</si>
  <si>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</si>
  <si>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</si>
  <si>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</si>
  <si>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</si>
  <si>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</si>
  <si>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</si>
  <si>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</si>
  <si>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</si>
  <si>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</si>
  <si>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</si>
  <si>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</si>
  <si>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</si>
  <si>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</si>
  <si>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</si>
  <si>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</si>
  <si>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</si>
  <si>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</si>
  <si>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</si>
  <si>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</si>
  <si>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</si>
  <si>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</si>
  <si>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</si>
  <si>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</si>
  <si>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</si>
  <si>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</si>
  <si>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</si>
  <si>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</si>
  <si>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</si>
  <si>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</si>
  <si>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</si>
  <si>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</si>
  <si>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</si>
  <si>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</si>
  <si>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</si>
  <si>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</si>
  <si>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</si>
  <si>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</si>
  <si>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</si>
  <si>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</si>
  <si>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</si>
  <si>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</si>
  <si>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</si>
  <si>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</si>
  <si>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</si>
  <si>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</si>
  <si>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</si>
  <si>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</si>
  <si>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</si>
  <si>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</si>
  <si>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</si>
  <si>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</si>
  <si>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</si>
  <si>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</si>
  <si>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</si>
  <si>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</si>
  <si>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</si>
  <si>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</si>
  <si>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</si>
  <si>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</si>
  <si>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</si>
  <si>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</si>
  <si>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</si>
  <si>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</si>
  <si>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</si>
  <si>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</si>
  <si>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</si>
  <si>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</si>
  <si>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</si>
  <si>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</si>
  <si>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</si>
  <si>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</si>
  <si>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</si>
  <si>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</si>
  <si>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</si>
  <si>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</si>
  <si>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</si>
  <si>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</si>
  <si>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</si>
  <si>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</si>
  <si>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</si>
  <si>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</si>
  <si>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</si>
  <si>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</si>
  <si>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</si>
  <si>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</si>
  <si>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</si>
  <si>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</si>
  <si>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</si>
  <si>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</si>
  <si>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</si>
  <si>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</si>
  <si>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</si>
  <si>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</si>
  <si>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</si>
  <si>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</si>
  <si>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</si>
  <si>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</si>
  <si>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</si>
  <si>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</si>
  <si>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</si>
  <si>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</si>
  <si>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</si>
  <si>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</si>
  <si>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</si>
  <si>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</si>
  <si>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</si>
  <si>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</si>
  <si>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</si>
  <si>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</si>
  <si>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</si>
  <si>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</si>
  <si>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</si>
  <si>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</si>
  <si>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</si>
  <si>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</si>
  <si>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</si>
  <si>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</si>
  <si>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</si>
  <si>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</si>
  <si>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</si>
  <si>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</si>
  <si>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</si>
  <si>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</si>
  <si>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</si>
  <si>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</si>
  <si>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</si>
  <si>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</si>
  <si>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</si>
  <si>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</si>
  <si>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</si>
  <si>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</si>
  <si>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</si>
  <si>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</si>
  <si>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</si>
  <si>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</si>
  <si>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</si>
  <si>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</si>
  <si>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</si>
  <si>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</si>
  <si>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</si>
  <si>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</si>
  <si>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</si>
  <si>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</si>
  <si>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</si>
  <si>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</si>
  <si>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</si>
  <si>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</si>
  <si>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</si>
  <si>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</si>
  <si>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</si>
  <si>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</si>
  <si>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</si>
  <si>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</si>
  <si>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</si>
  <si>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</si>
  <si>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</si>
  <si>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</si>
  <si>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</si>
  <si>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</si>
  <si>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</si>
  <si>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</si>
  <si>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</si>
  <si>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</si>
  <si>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</si>
  <si>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</si>
  <si>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</si>
  <si>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</si>
  <si>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</si>
  <si>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</si>
  <si>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</si>
  <si>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</si>
  <si>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</si>
  <si>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</si>
  <si>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</si>
  <si>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</si>
  <si>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</si>
  <si>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</si>
  <si>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</si>
  <si>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</si>
  <si>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</si>
  <si>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</si>
  <si>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</si>
  <si>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</si>
  <si>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</si>
  <si>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</si>
  <si>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</si>
  <si>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</si>
  <si>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</si>
  <si>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</si>
  <si>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</si>
  <si>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</si>
  <si>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</si>
  <si>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</si>
  <si>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</si>
  <si>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</si>
  <si>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</si>
  <si>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</si>
  <si>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</si>
  <si>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</si>
  <si>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</si>
  <si>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</si>
  <si>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</si>
  <si>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</si>
  <si>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</si>
  <si>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</si>
  <si>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</si>
  <si>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</si>
  <si>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</si>
  <si>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</si>
  <si>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</si>
  <si>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</si>
  <si>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</si>
  <si>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</si>
  <si>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</si>
  <si>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</si>
  <si>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</si>
  <si>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</si>
  <si>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</si>
  <si>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</si>
  <si>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</si>
  <si>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</si>
  <si>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</si>
  <si>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</si>
  <si>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</si>
  <si>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</si>
  <si>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</si>
  <si>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</si>
  <si>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</si>
  <si>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</si>
  <si>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</si>
  <si>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</si>
  <si>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</si>
  <si>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</si>
  <si>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</si>
  <si>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</si>
  <si>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</si>
  <si>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</si>
  <si>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</si>
  <si>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</si>
  <si>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</si>
  <si>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</si>
  <si>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</si>
  <si>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</si>
  <si>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</si>
  <si>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</si>
  <si>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</si>
  <si>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</si>
  <si>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</si>
  <si>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</si>
  <si>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</si>
  <si>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</si>
  <si>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</si>
  <si>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</si>
  <si>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</si>
  <si>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</si>
  <si>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</si>
  <si>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</si>
  <si>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</si>
  <si>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</si>
  <si>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</si>
  <si>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</si>
  <si>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</si>
  <si>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</si>
  <si>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</si>
  <si>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</si>
  <si>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</si>
  <si>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</si>
  <si>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</si>
  <si>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</si>
  <si>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</si>
  <si>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</si>
  <si>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</si>
  <si>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</si>
  <si>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</si>
  <si>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</si>
  <si>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</si>
  <si>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</si>
  <si>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</si>
  <si>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</si>
  <si>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</si>
  <si>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</si>
  <si>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</si>
  <si>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</si>
  <si>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</si>
  <si>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</si>
  <si>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</si>
  <si>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</si>
  <si>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</si>
  <si>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</si>
  <si>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</si>
  <si>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</si>
  <si>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</si>
  <si>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</si>
  <si>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</si>
  <si>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</si>
  <si>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</si>
  <si>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</si>
  <si>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</si>
  <si>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</si>
  <si>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</si>
  <si>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</si>
  <si>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</si>
  <si>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</si>
  <si>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</si>
  <si>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</si>
  <si>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</si>
  <si>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</si>
  <si>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</si>
  <si>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</si>
  <si>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</si>
  <si>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</si>
  <si>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</si>
  <si>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</si>
  <si>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</si>
  <si>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</si>
  <si>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</si>
  <si>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</si>
  <si>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</si>
  <si>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</si>
  <si>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</si>
  <si>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</si>
  <si>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</si>
  <si>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</si>
  <si>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</si>
  <si>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</si>
  <si>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</si>
  <si>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</si>
  <si>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</si>
  <si>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</si>
  <si>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</si>
  <si>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</si>
  <si>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</si>
  <si>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</si>
  <si>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</si>
  <si>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</si>
  <si>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</si>
  <si>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</si>
  <si>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</si>
  <si>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</si>
  <si>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</si>
  <si>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</si>
  <si>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</si>
  <si>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</si>
  <si>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</si>
  <si>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</si>
  <si>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</si>
  <si>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</si>
  <si>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</si>
  <si>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</si>
  <si>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</si>
  <si>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</si>
  <si>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</si>
  <si>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</si>
  <si>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</si>
  <si>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</si>
  <si>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</si>
  <si>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</si>
  <si>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</si>
  <si>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</si>
  <si>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</si>
  <si>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</si>
  <si>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</si>
  <si>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</si>
  <si>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</si>
  <si>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</si>
  <si>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</si>
  <si>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</si>
  <si>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</si>
  <si>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</si>
  <si>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</si>
  <si>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</si>
  <si>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</si>
  <si>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</si>
  <si>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</si>
  <si>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</si>
  <si>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</si>
  <si>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</si>
  <si>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</si>
  <si>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</si>
  <si>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</si>
  <si>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</si>
  <si>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</si>
  <si>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</si>
  <si>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</si>
  <si>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</si>
  <si>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</si>
  <si>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</si>
  <si>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</si>
  <si>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</si>
  <si>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</si>
  <si>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</si>
  <si>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</si>
  <si>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</si>
  <si>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</si>
  <si>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</si>
  <si>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</si>
  <si>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</si>
  <si>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</si>
  <si>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</si>
  <si>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</si>
  <si>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</si>
  <si>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</si>
  <si>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</si>
  <si>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</si>
  <si>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</si>
  <si>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</si>
  <si>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</si>
  <si>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</si>
  <si>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</si>
  <si>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</si>
  <si>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</si>
  <si>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</si>
  <si>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</si>
  <si>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</si>
  <si>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</si>
  <si>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</si>
  <si>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</si>
  <si>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</si>
  <si>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</si>
  <si>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</si>
  <si>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</si>
  <si>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</si>
  <si>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</si>
  <si>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</si>
  <si>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</si>
  <si>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</si>
  <si>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</si>
  <si>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</si>
  <si>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</si>
  <si>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</si>
  <si>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</si>
  <si>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</si>
  <si>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</si>
  <si>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</si>
  <si>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</si>
  <si>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</si>
  <si>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</si>
  <si>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</si>
  <si>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</si>
  <si>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</si>
  <si>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</si>
  <si>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</si>
  <si>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</si>
  <si>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</si>
  <si>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</si>
  <si>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</si>
  <si>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</si>
  <si>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</si>
  <si>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</si>
  <si>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</si>
  <si>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</si>
  <si>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</si>
  <si>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</si>
  <si>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</si>
  <si>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</si>
  <si>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</si>
  <si>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</si>
  <si>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</si>
  <si>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</si>
  <si>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</si>
  <si>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</si>
  <si>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</si>
  <si>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</si>
  <si>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</si>
  <si>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</si>
  <si>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</si>
  <si>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</si>
  <si>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</si>
  <si>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</si>
  <si>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</si>
  <si>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</si>
  <si>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</si>
  <si>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</si>
  <si>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</si>
  <si>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</si>
  <si>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</si>
  <si>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</si>
  <si>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</si>
  <si>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</si>
  <si>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</si>
  <si>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</si>
  <si>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</si>
  <si>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</si>
  <si>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</si>
  <si>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</si>
  <si>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</si>
  <si>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</si>
  <si>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</si>
  <si>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</si>
  <si>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</si>
  <si>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</si>
  <si>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</si>
  <si>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</si>
  <si>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</si>
  <si>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</si>
  <si>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</si>
  <si>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</si>
  <si>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</si>
  <si>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</si>
  <si>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</si>
  <si>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</si>
  <si>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</si>
  <si>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</si>
  <si>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</si>
  <si>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</si>
  <si>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</si>
  <si>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</si>
  <si>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</si>
  <si>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</si>
  <si>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</si>
  <si>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</si>
  <si>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</si>
  <si>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</si>
  <si>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</si>
  <si>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</si>
  <si>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</si>
  <si>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</si>
  <si>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</si>
  <si>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</si>
  <si>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</si>
  <si>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</si>
  <si>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</si>
  <si>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</si>
  <si>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</si>
  <si>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</si>
  <si>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</si>
  <si>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</si>
  <si>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</si>
  <si>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</si>
  <si>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</si>
  <si>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</si>
  <si>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</si>
  <si>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</si>
  <si>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</si>
  <si>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</si>
  <si>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</si>
  <si>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</si>
  <si>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</si>
  <si>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</si>
  <si>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</si>
  <si>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</si>
  <si>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</si>
  <si>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</si>
  <si>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</si>
  <si>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</si>
  <si>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</si>
  <si>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</si>
  <si>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</si>
  <si>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</si>
  <si>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</si>
  <si>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</si>
  <si>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</si>
  <si>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</si>
  <si>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</si>
  <si>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</si>
  <si>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</si>
  <si>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</si>
  <si>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</si>
  <si>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</si>
  <si>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</si>
  <si>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</si>
  <si>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</si>
  <si>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</si>
  <si>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</si>
  <si>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</si>
  <si>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</si>
  <si>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</si>
  <si>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</si>
  <si>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</si>
  <si>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</si>
  <si>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</si>
  <si>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</si>
  <si>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</si>
  <si>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</si>
  <si>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</si>
  <si>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</si>
  <si>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</si>
  <si>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</si>
  <si>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</si>
  <si>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</si>
  <si>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</si>
  <si>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</si>
  <si>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</si>
  <si>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</si>
  <si>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</si>
  <si>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</si>
  <si>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</si>
  <si>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</si>
  <si>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</si>
  <si>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</si>
  <si>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</si>
  <si>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</si>
  <si>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</si>
  <si>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</si>
  <si>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</si>
  <si>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</si>
  <si>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</si>
  <si>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</si>
  <si>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</si>
  <si>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</si>
  <si>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</si>
  <si>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</si>
  <si>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</si>
  <si>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</si>
  <si>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</si>
  <si>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</si>
  <si>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</si>
  <si>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</si>
  <si>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</si>
  <si>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</si>
  <si>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</si>
  <si>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</si>
  <si>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</si>
  <si>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</si>
  <si>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</si>
  <si>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</si>
  <si>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</si>
  <si>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</si>
  <si>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</si>
  <si>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</si>
  <si>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</si>
  <si>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</si>
  <si>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</si>
  <si>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</si>
  <si>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</si>
  <si>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</si>
  <si>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</si>
  <si>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</si>
  <si>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</si>
  <si>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</si>
  <si>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</si>
  <si>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</si>
  <si>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</si>
  <si>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</si>
  <si>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</si>
  <si>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</si>
  <si>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</si>
  <si>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</si>
  <si>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</si>
  <si>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</si>
  <si>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</si>
  <si>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</si>
  <si>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</si>
  <si>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</si>
  <si>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</si>
  <si>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</si>
  <si>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</si>
  <si>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</si>
  <si>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</si>
  <si>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</si>
  <si>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</si>
  <si>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</si>
  <si>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</si>
  <si>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</si>
  <si>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</si>
  <si>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</si>
  <si>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</si>
  <si>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</si>
  <si>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</si>
  <si>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</si>
  <si>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</si>
  <si>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</si>
  <si>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</si>
  <si>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</si>
  <si>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</si>
  <si>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</si>
  <si>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</si>
  <si>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</si>
  <si>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</si>
  <si>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</si>
  <si>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</si>
  <si>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</si>
  <si>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</si>
  <si>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</si>
  <si>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</si>
  <si>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</si>
  <si>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</si>
  <si>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</si>
  <si>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</si>
  <si>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</si>
  <si>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</si>
  <si>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</si>
  <si>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</si>
  <si>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</si>
  <si>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</si>
  <si>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</si>
  <si>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</si>
  <si>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</si>
  <si>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</si>
  <si>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</si>
  <si>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</si>
  <si>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</si>
  <si>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</si>
  <si>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</si>
  <si>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</si>
  <si>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</si>
  <si>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</si>
  <si>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</si>
  <si>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</si>
  <si>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</si>
  <si>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</si>
  <si>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</si>
  <si>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</si>
  <si>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</si>
  <si>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</si>
  <si>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</si>
  <si>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</si>
  <si>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</si>
  <si>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</si>
  <si>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</si>
  <si>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</si>
  <si>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</si>
  <si>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</si>
  <si>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</si>
  <si>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</si>
  <si>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</si>
  <si>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</si>
  <si>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</si>
  <si>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</si>
  <si>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</si>
  <si>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</si>
  <si>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</si>
  <si>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</si>
  <si>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</si>
  <si>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</si>
  <si>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</si>
  <si>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</si>
  <si>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</si>
  <si>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</si>
  <si>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</si>
  <si>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</si>
  <si>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</si>
  <si>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</si>
  <si>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</si>
  <si>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</si>
  <si>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</si>
  <si>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</si>
  <si>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</si>
  <si>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</si>
  <si>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</si>
  <si>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</si>
  <si>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</si>
  <si>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</si>
  <si>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</si>
  <si>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</si>
  <si>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</si>
  <si>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</si>
  <si>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</si>
  <si>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</si>
  <si>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</si>
  <si>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</si>
  <si>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</si>
  <si>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</si>
  <si>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</si>
  <si>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</si>
  <si>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</si>
  <si>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</si>
  <si>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</si>
  <si>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</si>
  <si>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</si>
  <si>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</si>
  <si>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</si>
  <si>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</si>
  <si>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</si>
  <si>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</si>
  <si>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</si>
  <si>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</si>
  <si>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</si>
  <si>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</si>
  <si>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</si>
  <si>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</si>
  <si>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</si>
  <si>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</si>
  <si>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</si>
  <si>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</si>
  <si>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</si>
  <si>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</si>
  <si>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</si>
  <si>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</si>
  <si>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</si>
  <si>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</si>
  <si>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</si>
  <si>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</si>
  <si>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</si>
  <si>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</si>
  <si>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</si>
  <si>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</si>
  <si>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</si>
  <si>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</si>
  <si>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</si>
  <si>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</si>
  <si>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</si>
  <si>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</si>
  <si>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</si>
  <si>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</si>
  <si>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</si>
  <si>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</si>
  <si>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</si>
  <si>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</si>
  <si>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</si>
  <si>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</si>
  <si>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</si>
  <si>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</si>
  <si>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</si>
  <si>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</si>
  <si>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</si>
  <si>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</si>
  <si>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</si>
  <si>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</si>
  <si>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</si>
  <si>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</si>
  <si>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</si>
  <si>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</si>
  <si>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</si>
  <si>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</si>
  <si>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</si>
  <si>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</si>
  <si>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</si>
  <si>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</si>
  <si>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</si>
  <si>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</si>
  <si>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</si>
  <si>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</si>
  <si>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</si>
  <si>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</si>
  <si>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</si>
  <si>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</si>
  <si>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</si>
  <si>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</si>
  <si>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</si>
  <si>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</si>
  <si>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</si>
  <si>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</si>
  <si>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</si>
  <si>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</si>
  <si>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</si>
  <si>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</si>
  <si>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</si>
  <si>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</si>
  <si>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</si>
  <si>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</si>
  <si>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</si>
  <si>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</si>
  <si>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</si>
  <si>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</si>
  <si>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</si>
  <si>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</si>
  <si>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</si>
  <si>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</si>
  <si>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</si>
  <si>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</si>
  <si>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</si>
  <si>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</si>
  <si>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</si>
  <si>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</si>
  <si>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</si>
  <si>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</si>
  <si>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</si>
  <si>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</si>
  <si>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</si>
  <si>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</si>
  <si>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</si>
  <si>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</si>
  <si>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</si>
  <si>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</si>
  <si>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</si>
  <si>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</si>
  <si>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</si>
  <si>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</si>
  <si>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</si>
  <si>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</si>
  <si>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</si>
  <si>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</si>
  <si>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</si>
  <si>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</si>
  <si>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</si>
  <si>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</si>
  <si>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</si>
  <si>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</si>
  <si>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</si>
  <si>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</si>
  <si>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</si>
  <si>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</si>
  <si>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</si>
  <si>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</si>
  <si>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</si>
  <si>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</si>
  <si>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</si>
  <si>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</si>
  <si>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</si>
  <si>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</si>
  <si>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</si>
  <si>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</si>
  <si>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</si>
  <si>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</si>
  <si>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</si>
  <si>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</si>
  <si>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</si>
  <si>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</si>
  <si>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</si>
  <si>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</si>
  <si>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</si>
  <si>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</si>
  <si>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</si>
  <si>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</si>
  <si>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</si>
  <si>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</si>
  <si>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</si>
  <si>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</si>
  <si>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</si>
  <si>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</si>
  <si>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</si>
  <si>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</si>
  <si>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</si>
  <si>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</si>
  <si>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</si>
  <si>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</si>
  <si>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</si>
  <si>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</si>
  <si>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</si>
  <si>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</si>
  <si>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</si>
  <si>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</si>
  <si>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</si>
  <si>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</si>
  <si>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</si>
  <si>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</si>
  <si>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</si>
  <si>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</si>
  <si>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</si>
  <si>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</si>
  <si>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</si>
  <si>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</si>
  <si>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</si>
  <si>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</si>
  <si>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</si>
  <si>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</si>
  <si>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</si>
  <si>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</si>
  <si>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</si>
  <si>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</si>
  <si>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</si>
  <si>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</si>
  <si>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</si>
  <si>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</si>
  <si>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</si>
  <si>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</si>
  <si>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</si>
  <si>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</si>
  <si>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</si>
  <si>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</si>
  <si>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</si>
  <si>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</si>
  <si>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</si>
  <si>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</si>
  <si>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</si>
  <si>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</si>
  <si>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</si>
  <si>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</si>
  <si>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</si>
  <si>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</si>
  <si>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</si>
  <si>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</si>
  <si>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</si>
  <si>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</si>
  <si>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</si>
  <si>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</si>
  <si>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</si>
  <si>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</si>
  <si>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</si>
  <si>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</si>
  <si>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</si>
  <si>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</si>
  <si>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</si>
  <si>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</si>
  <si>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</si>
  <si>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</si>
  <si>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</si>
  <si>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</si>
  <si>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</si>
  <si>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</si>
  <si>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</si>
  <si>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</si>
  <si>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</si>
  <si>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</si>
  <si>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</si>
  <si>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</si>
  <si>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</si>
  <si>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</si>
  <si>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</si>
  <si>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</si>
  <si>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</si>
  <si>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</si>
  <si>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</si>
  <si>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</si>
  <si>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</si>
  <si>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</si>
  <si>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</si>
  <si>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</si>
  <si>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</si>
  <si>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</si>
  <si>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</si>
  <si>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</si>
  <si>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</si>
  <si>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</si>
  <si>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</si>
  <si>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</si>
  <si>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</si>
  <si>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</si>
  <si>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</si>
  <si>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</si>
  <si>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</si>
  <si>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</si>
  <si>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</si>
  <si>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</si>
  <si>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</si>
  <si>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</si>
  <si>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</si>
  <si>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</si>
  <si>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</si>
  <si>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</si>
  <si>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</si>
  <si>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</si>
  <si>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</si>
  <si>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</si>
  <si>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</si>
  <si>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</si>
  <si>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</si>
  <si>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</si>
  <si>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</si>
  <si>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</si>
  <si>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</si>
  <si>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</si>
  <si>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</si>
  <si>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</si>
  <si>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</si>
  <si>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</si>
  <si>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</si>
  <si>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</si>
  <si>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</si>
  <si>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</si>
  <si>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</si>
  <si>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</si>
  <si>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</si>
  <si>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</si>
  <si>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</si>
  <si>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</si>
  <si>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</si>
  <si>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</si>
  <si>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</si>
  <si>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</si>
  <si>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</si>
  <si>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</si>
  <si>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</si>
  <si>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</si>
  <si>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</si>
  <si>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</si>
  <si>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</si>
  <si>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</si>
  <si>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</si>
  <si>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</si>
  <si>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</si>
  <si>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</si>
  <si>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</si>
  <si>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</si>
  <si>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</si>
  <si>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</si>
  <si>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</si>
  <si>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</si>
  <si>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</si>
  <si>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</si>
  <si>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</si>
  <si>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</si>
  <si>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</si>
  <si>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</si>
  <si>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</si>
  <si>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</si>
  <si>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</si>
  <si>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</si>
  <si>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</si>
  <si>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</si>
  <si>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</si>
  <si>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</si>
  <si>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</si>
  <si>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</si>
  <si>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</si>
  <si>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</si>
  <si>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</si>
  <si>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</si>
  <si>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</si>
  <si>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</si>
  <si>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</si>
  <si>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</si>
  <si>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</si>
  <si>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</si>
  <si>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</si>
  <si>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</si>
  <si>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</si>
  <si>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</si>
  <si>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</si>
  <si>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</si>
  <si>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</si>
  <si>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</si>
  <si>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</si>
  <si>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</si>
  <si>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</si>
  <si>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</si>
  <si>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</si>
  <si>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</si>
  <si>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</si>
  <si>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</si>
  <si>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</si>
  <si>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</si>
  <si>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</si>
  <si>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</si>
  <si>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</si>
  <si>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</si>
  <si>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</si>
  <si>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</si>
  <si>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</si>
  <si>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</si>
  <si>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</si>
  <si>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</si>
  <si>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</si>
  <si>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</si>
  <si>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</si>
  <si>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</si>
  <si>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</si>
  <si>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</si>
  <si>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</si>
  <si>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</si>
  <si>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</si>
  <si>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</si>
  <si>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</si>
  <si>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</si>
  <si>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</si>
  <si>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</si>
  <si>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</si>
  <si>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</si>
  <si>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</si>
  <si>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</si>
  <si>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</si>
  <si>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</si>
  <si>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</si>
  <si>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</si>
  <si>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</si>
  <si>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</si>
  <si>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</si>
  <si>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</si>
  <si>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</si>
  <si>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</si>
  <si>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</si>
  <si>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</si>
  <si>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</si>
  <si>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</si>
  <si>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</si>
  <si>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</si>
  <si>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</si>
  <si>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</si>
  <si>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</si>
  <si>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</si>
  <si>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</si>
  <si>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</si>
  <si>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</si>
  <si>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</si>
  <si>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</si>
  <si>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</si>
  <si>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</si>
  <si>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</si>
  <si>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</si>
  <si>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</si>
  <si>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</si>
  <si>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</si>
  <si>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</si>
  <si>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</si>
  <si>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</si>
  <si>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</si>
  <si>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</si>
  <si>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</si>
  <si>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</si>
  <si>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</si>
  <si>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</si>
  <si>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</si>
  <si>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</si>
  <si>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</si>
  <si>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</si>
  <si>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</si>
  <si>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</si>
  <si>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</si>
  <si>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</si>
  <si>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</si>
  <si>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</si>
  <si>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</si>
  <si>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</si>
  <si>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</si>
  <si>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</si>
  <si>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</si>
  <si>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</si>
  <si>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</si>
  <si>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</si>
  <si>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</si>
  <si>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</si>
  <si>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</si>
  <si>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</si>
  <si>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</si>
  <si>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</si>
  <si>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</si>
  <si>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</si>
  <si>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</si>
  <si>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</si>
  <si>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</si>
  <si>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</si>
  <si>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</si>
  <si>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</si>
  <si>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</si>
  <si>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</si>
  <si>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</si>
  <si>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</si>
  <si>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</si>
  <si>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</si>
  <si>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</si>
  <si>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</si>
  <si>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</si>
  <si>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</si>
  <si>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</si>
  <si>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</si>
  <si>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</si>
  <si>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</si>
  <si>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</si>
  <si>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</si>
  <si>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</si>
  <si>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</si>
  <si>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</si>
  <si>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</si>
  <si>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</si>
  <si>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</si>
  <si>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</si>
  <si>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</si>
  <si>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</si>
  <si>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</si>
  <si>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</si>
  <si>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</si>
  <si>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</si>
  <si>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</si>
  <si>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</si>
  <si>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</si>
  <si>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</si>
  <si>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</si>
  <si>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</si>
  <si>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</si>
  <si>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</si>
  <si>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</si>
  <si>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</si>
  <si>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</si>
  <si>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</si>
  <si>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</si>
  <si>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</si>
  <si>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</si>
  <si>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</si>
  <si>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</si>
  <si>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</si>
  <si>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</si>
  <si>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</si>
  <si>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</si>
  <si>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</si>
  <si>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</si>
  <si>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</si>
  <si>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</si>
  <si>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</si>
  <si>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</si>
  <si>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</si>
  <si>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</si>
  <si>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</si>
  <si>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</si>
  <si>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</si>
  <si>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</si>
  <si>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</si>
  <si>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</si>
  <si>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</si>
  <si>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</si>
  <si>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</si>
  <si>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</si>
  <si>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</si>
  <si>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</si>
  <si>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</si>
  <si>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</si>
  <si>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</si>
  <si>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</si>
  <si>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</si>
  <si>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</si>
  <si>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</si>
  <si>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</si>
  <si>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</si>
  <si>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</si>
  <si>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</si>
  <si>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</si>
  <si>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</si>
  <si>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</si>
  <si>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</si>
  <si>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</si>
  <si>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</si>
  <si>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</si>
  <si>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</si>
  <si>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</si>
  <si>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</si>
  <si>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</si>
  <si>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</si>
  <si>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</si>
  <si>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</si>
  <si>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</si>
  <si>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</si>
  <si>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</si>
  <si>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</si>
  <si>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</si>
  <si>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</si>
  <si>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</si>
  <si>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</si>
  <si>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</si>
  <si>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</si>
  <si>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</si>
  <si>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</si>
  <si>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</si>
  <si>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</si>
  <si>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</si>
  <si>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</si>
  <si>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</si>
  <si>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</si>
  <si>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</si>
  <si>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</si>
  <si>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</si>
  <si>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</si>
  <si>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</si>
  <si>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</si>
  <si>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</si>
  <si>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</si>
  <si>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</si>
  <si>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</si>
  <si>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</si>
  <si>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</si>
  <si>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</si>
  <si>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</si>
  <si>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</si>
  <si>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</si>
  <si>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</si>
  <si>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</si>
  <si>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</si>
  <si>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</si>
  <si>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</si>
  <si>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</si>
  <si>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</si>
  <si>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</si>
  <si>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</si>
  <si>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</si>
  <si>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</si>
  <si>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</si>
  <si>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</si>
  <si>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</si>
  <si>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</si>
  <si>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</si>
  <si>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</si>
  <si>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</si>
  <si>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</si>
  <si>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</si>
  <si>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</si>
  <si>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</si>
  <si>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</si>
  <si>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</si>
  <si>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</si>
  <si>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</si>
  <si>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</si>
  <si>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</si>
  <si>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</si>
  <si>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</si>
  <si>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</si>
  <si>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</si>
  <si>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</si>
  <si>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</si>
  <si>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</si>
  <si>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</si>
  <si>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</si>
  <si>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</si>
  <si>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</si>
  <si>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</si>
  <si>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</si>
  <si>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</si>
  <si>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</si>
  <si>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</si>
  <si>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</si>
  <si>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</si>
  <si>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</si>
  <si>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</si>
  <si>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</si>
  <si>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</si>
  <si>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</si>
  <si>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</si>
  <si>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</si>
  <si>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</si>
  <si>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</si>
  <si>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</si>
  <si>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</si>
  <si>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</si>
  <si>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</si>
  <si>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</si>
  <si>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</si>
  <si>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</si>
  <si>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</si>
  <si>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</si>
  <si>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</si>
  <si>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</si>
  <si>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</si>
  <si>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</si>
  <si>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</si>
  <si>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</si>
  <si>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</si>
  <si>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</si>
  <si>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</si>
  <si>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</si>
  <si>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</si>
  <si>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</si>
  <si>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</si>
  <si>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</si>
  <si>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</si>
  <si>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</si>
  <si>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</si>
  <si>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</si>
  <si>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</si>
  <si>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</si>
  <si>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</si>
  <si>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</si>
  <si>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</si>
  <si>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</si>
  <si>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</si>
  <si>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</si>
  <si>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</si>
  <si>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</si>
  <si>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</si>
  <si>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</si>
  <si>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</si>
  <si>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</si>
  <si>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</si>
  <si>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</si>
  <si>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</si>
  <si>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</si>
  <si>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</si>
  <si>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</si>
  <si>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</si>
  <si>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</si>
  <si>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</si>
  <si>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</si>
  <si>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</si>
  <si>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</si>
  <si>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</si>
  <si>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</si>
  <si>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</si>
  <si>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</si>
  <si>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</si>
  <si>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</si>
  <si>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</si>
  <si>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</si>
  <si>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</si>
  <si>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</si>
  <si>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</si>
  <si>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</si>
  <si>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</si>
  <si>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</si>
  <si>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</si>
  <si>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</si>
  <si>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</si>
  <si>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</si>
  <si>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</si>
  <si>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</si>
  <si>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</si>
  <si>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</si>
  <si>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</si>
  <si>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</si>
  <si>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</si>
  <si>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</si>
  <si>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</si>
  <si>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</si>
  <si>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</si>
  <si>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</si>
  <si>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</si>
  <si>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</si>
  <si>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</si>
  <si>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</si>
  <si>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</si>
  <si>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</si>
  <si>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</si>
  <si>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</si>
  <si>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</si>
  <si>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</si>
  <si>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</si>
  <si>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</si>
  <si>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</si>
  <si>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</si>
  <si>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</si>
  <si>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</si>
  <si>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</si>
  <si>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</si>
  <si>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</si>
  <si>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</si>
  <si>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</si>
  <si>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</si>
  <si>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</si>
  <si>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</si>
  <si>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</si>
  <si>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</si>
  <si>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</si>
  <si>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</si>
  <si>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</si>
  <si>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</si>
  <si>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</si>
  <si>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</si>
  <si>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</si>
  <si>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</si>
  <si>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</si>
  <si>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</si>
  <si>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</si>
  <si>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</si>
  <si>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</si>
  <si>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</si>
  <si>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</si>
  <si>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</si>
  <si>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</si>
  <si>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</si>
  <si>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</si>
  <si>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</si>
  <si>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</si>
  <si>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</si>
  <si>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</si>
  <si>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</si>
  <si>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</si>
  <si>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</si>
  <si>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</si>
  <si>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</si>
  <si>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</si>
  <si>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</si>
  <si>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</si>
  <si>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</si>
  <si>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</si>
  <si>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</si>
  <si>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</si>
  <si>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</si>
  <si>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</si>
  <si>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</si>
  <si>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</si>
  <si>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</si>
  <si>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</si>
  <si>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</si>
  <si>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</si>
  <si>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</si>
  <si>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</si>
  <si>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</si>
  <si>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</si>
  <si>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</si>
  <si>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</si>
  <si>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</si>
  <si>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</si>
  <si>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</si>
  <si>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</si>
  <si>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</si>
  <si>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</si>
  <si>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</si>
  <si>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</si>
  <si>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</si>
  <si>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</si>
  <si>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</si>
  <si>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</si>
  <si>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</si>
  <si>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</si>
  <si>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</si>
  <si>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</si>
  <si>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</si>
  <si>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</si>
  <si>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</si>
  <si>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</si>
  <si>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</si>
  <si>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</si>
  <si>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</si>
  <si>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</si>
  <si>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</si>
  <si>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</si>
  <si>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</si>
  <si>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</si>
  <si>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</si>
  <si>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</si>
  <si>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</si>
  <si>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</si>
  <si>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</si>
  <si>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</si>
  <si>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</si>
  <si>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</si>
  <si>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</si>
  <si>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</si>
  <si>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</si>
  <si>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</si>
  <si>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</si>
  <si>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</si>
  <si>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</si>
  <si>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</si>
  <si>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</si>
  <si>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</si>
  <si>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</si>
  <si>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</si>
  <si>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</si>
  <si>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</si>
  <si>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</si>
  <si>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</si>
  <si>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</si>
  <si>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</si>
  <si>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</si>
  <si>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</si>
  <si>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</si>
  <si>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</si>
  <si>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</si>
  <si>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</si>
  <si>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</si>
  <si>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</si>
  <si>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</si>
  <si>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</si>
  <si>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</si>
  <si>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</si>
  <si>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</si>
  <si>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</si>
  <si>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</si>
  <si>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</si>
  <si>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</si>
  <si>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</si>
  <si>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</si>
  <si>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</si>
  <si>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</si>
  <si>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</si>
  <si>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</si>
  <si>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</si>
  <si>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</si>
  <si>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</si>
  <si>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</si>
  <si>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</si>
  <si>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</si>
  <si>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</si>
  <si>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</si>
  <si>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</si>
  <si>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</si>
  <si>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</si>
  <si>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</si>
  <si>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</si>
  <si>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</si>
  <si>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</si>
  <si>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</si>
  <si>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</si>
  <si>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</si>
  <si>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</si>
  <si>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</si>
  <si>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</si>
  <si>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</si>
  <si>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</si>
  <si>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</si>
  <si>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</si>
  <si>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</si>
  <si>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</si>
  <si>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</si>
  <si>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</si>
  <si>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</si>
  <si>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</si>
  <si>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</si>
  <si>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</si>
  <si>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</si>
  <si>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</si>
  <si>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</si>
  <si>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</si>
  <si>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</si>
  <si>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</si>
  <si>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</si>
  <si>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</si>
  <si>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</si>
  <si>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</si>
  <si>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</si>
  <si>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</si>
  <si>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</si>
  <si>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</si>
  <si>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</si>
  <si>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</si>
  <si>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</si>
  <si>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</si>
  <si>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</si>
  <si>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</si>
  <si>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</si>
  <si>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</si>
  <si>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</si>
  <si>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</si>
  <si>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</si>
  <si>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</si>
  <si>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</si>
  <si>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</si>
  <si>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</si>
  <si>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</si>
  <si>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</si>
  <si>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</si>
  <si>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</si>
  <si>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</si>
  <si>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</si>
  <si>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</si>
  <si>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</si>
  <si>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</si>
  <si>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</si>
  <si>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</si>
  <si>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</si>
  <si>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</si>
  <si>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</si>
  <si>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</si>
  <si>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</si>
  <si>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</si>
  <si>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</si>
  <si>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</si>
  <si>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</si>
  <si>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</si>
  <si>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</si>
  <si>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</si>
  <si>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</si>
  <si>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</si>
  <si>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</si>
  <si>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</si>
  <si>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</si>
  <si>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</si>
  <si>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</si>
  <si>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</si>
  <si>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</si>
  <si>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</si>
  <si>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</si>
  <si>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</si>
  <si>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</si>
  <si>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</si>
  <si>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</si>
  <si>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</si>
  <si>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</si>
  <si>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</si>
  <si>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</si>
  <si>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</si>
  <si>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</si>
  <si>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</si>
  <si>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</si>
  <si>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</si>
  <si>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</si>
  <si>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</si>
  <si>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</si>
  <si>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</si>
  <si>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</si>
  <si>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</si>
  <si>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</si>
  <si>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</si>
  <si>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</si>
  <si>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</si>
  <si>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</si>
  <si>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</si>
  <si>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</si>
  <si>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</si>
  <si>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</si>
  <si>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</si>
  <si>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</si>
  <si>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</si>
  <si>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</si>
  <si>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</si>
  <si>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</si>
  <si>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</si>
  <si>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</si>
  <si>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</si>
  <si>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</si>
  <si>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</si>
  <si>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</si>
  <si>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</si>
  <si>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</si>
  <si>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</si>
  <si>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</si>
  <si>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</si>
  <si>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</si>
  <si>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</si>
  <si>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</si>
  <si>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</si>
  <si>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</si>
  <si>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</si>
  <si>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</si>
  <si>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</si>
  <si>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</si>
  <si>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</si>
  <si>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</si>
  <si>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</si>
  <si>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</si>
  <si>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</si>
  <si>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</si>
  <si>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</si>
  <si>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</si>
  <si>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</si>
  <si>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</si>
  <si>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</si>
  <si>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</si>
  <si>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</si>
  <si>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</si>
  <si>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</si>
  <si>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</si>
  <si>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</si>
  <si>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</si>
  <si>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</si>
  <si>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</si>
  <si>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</si>
  <si>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</si>
  <si>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</si>
  <si>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</si>
  <si>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</si>
  <si>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</si>
  <si>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</si>
  <si>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</si>
  <si>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</si>
  <si>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</si>
  <si>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</si>
  <si>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</si>
  <si>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</si>
  <si>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</si>
  <si>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</si>
  <si>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</si>
  <si>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</si>
  <si>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</si>
  <si>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</si>
  <si>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</si>
  <si>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</si>
  <si>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</si>
  <si>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</si>
  <si>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</si>
  <si>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</si>
  <si>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</si>
  <si>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</si>
  <si>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</si>
  <si>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</si>
  <si>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</si>
  <si>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</si>
  <si>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</si>
  <si>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</si>
  <si>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</si>
  <si>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</si>
  <si>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</si>
  <si>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</si>
  <si>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</si>
  <si>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</si>
  <si>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</si>
  <si>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</si>
  <si>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</si>
  <si>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</si>
  <si>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</si>
  <si>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</si>
  <si>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</si>
  <si>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</si>
  <si>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</si>
  <si>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</si>
  <si>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</si>
  <si>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</si>
  <si>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</si>
  <si>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</si>
  <si>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</si>
  <si>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</si>
  <si>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</si>
  <si>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</si>
  <si>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</si>
  <si>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</si>
  <si>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</si>
  <si>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</si>
  <si>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</si>
  <si>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</si>
  <si>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</si>
  <si>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</si>
  <si>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</si>
  <si>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</si>
  <si>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</si>
  <si>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</si>
  <si>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</si>
  <si>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</si>
  <si>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</si>
  <si>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</si>
  <si>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</si>
  <si>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</si>
  <si>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</si>
  <si>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</si>
  <si>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</si>
  <si>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</si>
  <si>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</si>
  <si>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</si>
  <si>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</si>
  <si>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</si>
  <si>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</si>
  <si>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</si>
  <si>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</si>
  <si>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</si>
  <si>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</si>
  <si>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</si>
  <si>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</si>
  <si>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</si>
  <si>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</si>
  <si>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</si>
  <si>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</si>
  <si>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</si>
  <si>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</si>
  <si>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</si>
  <si>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</si>
  <si>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</si>
  <si>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</si>
  <si>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</si>
  <si>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</si>
  <si>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</si>
  <si>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</si>
  <si>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</si>
  <si>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</si>
  <si>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</si>
  <si>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</si>
  <si>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</si>
  <si>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</si>
  <si>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</si>
  <si>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</si>
  <si>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</si>
  <si>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</si>
  <si>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</si>
  <si>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</si>
  <si>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</si>
  <si>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</si>
  <si>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</si>
  <si>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</si>
  <si>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</si>
  <si>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</si>
  <si>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</si>
  <si>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</si>
  <si>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</si>
  <si>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</si>
  <si>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</si>
  <si>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</si>
  <si>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</si>
  <si>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</si>
  <si>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</si>
  <si>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</si>
  <si>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</si>
  <si>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</si>
  <si>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</si>
  <si>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</si>
  <si>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</si>
  <si>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</si>
  <si>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</si>
  <si>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</si>
  <si>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</si>
  <si>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</si>
  <si>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</si>
  <si>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</si>
  <si>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</si>
  <si>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</si>
  <si>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</si>
  <si>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</si>
  <si>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</si>
  <si>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</si>
  <si>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</si>
  <si>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</si>
  <si>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</si>
  <si>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</si>
  <si>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</si>
  <si>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</si>
  <si>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</si>
  <si>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</si>
  <si>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</si>
  <si>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</si>
  <si>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</si>
  <si>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</si>
  <si>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</si>
  <si>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</si>
  <si>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</si>
  <si>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</si>
  <si>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</si>
  <si>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</si>
  <si>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</si>
  <si>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</si>
  <si>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</si>
  <si>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</si>
  <si>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</si>
  <si>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</si>
  <si>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</si>
  <si>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</si>
  <si>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</si>
  <si>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</si>
  <si>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</si>
  <si>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</si>
  <si>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</si>
  <si>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</si>
  <si>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</si>
  <si>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</si>
  <si>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</si>
  <si>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</si>
  <si>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</si>
  <si>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</si>
  <si>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</si>
  <si>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</si>
  <si>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</si>
  <si>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</si>
  <si>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</si>
  <si>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</si>
  <si>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</si>
  <si>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</si>
  <si>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</si>
  <si>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</si>
  <si>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</si>
  <si>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</si>
  <si>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</si>
  <si>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</si>
  <si>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</si>
  <si>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</si>
  <si>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</si>
  <si>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</si>
  <si>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</si>
  <si>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</si>
  <si>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</si>
  <si>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</si>
  <si>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</si>
  <si>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</si>
  <si>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</si>
  <si>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</si>
  <si>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</si>
  <si>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</si>
  <si>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</si>
  <si>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</si>
  <si>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</si>
  <si>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</si>
  <si>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</si>
  <si>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</si>
  <si>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</si>
  <si>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</si>
  <si>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</si>
  <si>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</si>
  <si>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</si>
  <si>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</si>
  <si>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</si>
  <si>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</si>
  <si>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</si>
  <si>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</si>
  <si>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</si>
  <si>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</si>
  <si>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</si>
  <si>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</si>
  <si>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</si>
  <si>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</si>
  <si>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</si>
  <si>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</si>
  <si>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</si>
  <si>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</si>
  <si>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</si>
  <si>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</si>
  <si>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</si>
  <si>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</si>
  <si>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</si>
  <si>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</si>
  <si>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</si>
  <si>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</si>
  <si>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</si>
  <si>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</si>
  <si>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</si>
  <si>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</si>
  <si>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</si>
  <si>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</si>
  <si>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</si>
  <si>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</si>
  <si>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</si>
  <si>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</si>
  <si>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</si>
  <si>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</si>
  <si>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</si>
  <si>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</si>
  <si>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</si>
  <si>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</si>
  <si>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</si>
  <si>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</si>
  <si>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</si>
  <si>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</si>
  <si>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</si>
  <si>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</si>
  <si>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</si>
  <si>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</si>
  <si>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</si>
  <si>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</si>
  <si>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</si>
  <si>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</si>
  <si>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</si>
  <si>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</si>
  <si>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</si>
  <si>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</si>
  <si>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</si>
  <si>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</si>
  <si>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</si>
  <si>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</si>
  <si>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</si>
  <si>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</si>
  <si>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</si>
  <si>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</si>
  <si>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</si>
  <si>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</si>
  <si>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</si>
  <si>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</si>
  <si>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</si>
  <si>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</si>
  <si>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</si>
  <si>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</si>
  <si>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</si>
  <si>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</si>
  <si>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</si>
  <si>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</si>
  <si>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</si>
  <si>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</si>
  <si>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</si>
  <si>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</si>
  <si>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</si>
  <si>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</si>
  <si>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</si>
  <si>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</si>
  <si>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</si>
  <si>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</si>
  <si>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</si>
  <si>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</si>
  <si>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</si>
  <si>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</si>
  <si>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</si>
  <si>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</si>
  <si>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</si>
  <si>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</si>
  <si>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</si>
  <si>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</si>
  <si>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</si>
  <si>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</si>
  <si>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</si>
  <si>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</si>
  <si>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</si>
  <si>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</si>
  <si>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</si>
  <si>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</si>
  <si>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</si>
  <si>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</si>
  <si>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</si>
  <si>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</si>
  <si>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</si>
  <si>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</si>
  <si>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</si>
  <si>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</si>
  <si>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</si>
  <si>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</si>
  <si>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</si>
  <si>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</si>
  <si>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</si>
  <si>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</si>
  <si>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</si>
  <si>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</si>
  <si>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</si>
  <si>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</si>
  <si>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</si>
  <si>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</si>
  <si>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</si>
  <si>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</si>
  <si>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</si>
  <si>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</si>
  <si>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</si>
  <si>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</si>
  <si>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</si>
  <si>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</si>
  <si>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</si>
  <si>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</si>
  <si>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</si>
  <si>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</si>
  <si>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</si>
  <si>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</si>
  <si>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</si>
  <si>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</si>
  <si>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</si>
  <si>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</si>
  <si>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</si>
  <si>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</si>
  <si>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</si>
  <si>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</si>
  <si>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</si>
  <si>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</si>
  <si>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</si>
  <si>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</si>
  <si>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</si>
  <si>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</si>
  <si>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</si>
  <si>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</si>
  <si>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</si>
  <si>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</si>
  <si>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</si>
  <si>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</si>
  <si>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</si>
  <si>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</si>
  <si>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</si>
  <si>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</si>
  <si>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</si>
  <si>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</si>
  <si>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</si>
  <si>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</si>
  <si>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</si>
  <si>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</si>
  <si>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</si>
  <si>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</si>
  <si>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</si>
  <si>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</si>
  <si>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</si>
  <si>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</si>
  <si>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</si>
  <si>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</si>
  <si>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</si>
  <si>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</si>
  <si>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</si>
  <si>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</si>
  <si>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</si>
  <si>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</si>
  <si>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</si>
  <si>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</si>
  <si>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</si>
  <si>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</si>
  <si>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</si>
  <si>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</si>
  <si>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</si>
  <si>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</si>
  <si>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</si>
  <si>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</si>
  <si>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</si>
  <si>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</si>
  <si>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</si>
  <si>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</si>
  <si>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</si>
  <si>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</si>
  <si>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</si>
  <si>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</si>
  <si>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</si>
  <si>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</si>
  <si>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</si>
  <si>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</si>
  <si>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</si>
  <si>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</si>
  <si>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</si>
  <si>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</si>
  <si>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</si>
  <si>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</si>
  <si>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</si>
  <si>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</si>
  <si>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</si>
  <si>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</si>
  <si>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</si>
  <si>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</si>
  <si>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</si>
  <si>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</si>
  <si>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</si>
  <si>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</si>
  <si>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</si>
  <si>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</si>
  <si>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</si>
  <si>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</si>
  <si>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</si>
  <si>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</si>
  <si>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</si>
  <si>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</si>
  <si>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</si>
  <si>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</si>
  <si>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</si>
  <si>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</si>
  <si>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</si>
  <si>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</si>
  <si>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</si>
  <si>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</si>
  <si>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</si>
  <si>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</si>
  <si>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</si>
  <si>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</si>
  <si>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</si>
  <si>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</si>
  <si>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</si>
  <si>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</si>
  <si>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</si>
  <si>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</si>
  <si>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</si>
  <si>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</si>
  <si>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</si>
  <si>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</si>
  <si>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</si>
  <si>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</si>
  <si>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</si>
  <si>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</si>
  <si>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</si>
  <si>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</si>
  <si>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</si>
  <si>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</si>
  <si>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</si>
  <si>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</si>
  <si>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</si>
  <si>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</si>
  <si>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</si>
  <si>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</si>
  <si>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</si>
  <si>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</si>
  <si>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</si>
  <si>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</si>
  <si>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</si>
  <si>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</si>
  <si>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</si>
  <si>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</si>
  <si>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</si>
  <si>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</si>
  <si>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</si>
  <si>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</si>
  <si>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</si>
  <si>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</si>
  <si>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</si>
  <si>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</si>
  <si>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</si>
  <si>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</si>
  <si>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</si>
  <si>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</si>
  <si>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</si>
  <si>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</si>
  <si>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</si>
  <si>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</si>
  <si>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</si>
  <si>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</si>
  <si>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</si>
  <si>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</si>
  <si>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</si>
  <si>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</si>
  <si>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</si>
  <si>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</si>
  <si>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</si>
  <si>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</si>
  <si>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</si>
  <si>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</si>
  <si>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</si>
  <si>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</si>
  <si>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</si>
  <si>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</si>
  <si>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</si>
  <si>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</si>
  <si>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</si>
  <si>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</si>
  <si>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</si>
  <si>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</si>
  <si>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</si>
  <si>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</si>
  <si>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</si>
  <si>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</si>
  <si>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</si>
  <si>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</si>
  <si>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</si>
  <si>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</si>
  <si>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</si>
  <si>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</si>
  <si>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</si>
  <si>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</si>
  <si>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</si>
  <si>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</si>
  <si>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</si>
  <si>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</si>
  <si>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</si>
  <si>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</si>
  <si>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</si>
  <si>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</si>
  <si>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</si>
  <si>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</si>
  <si>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</si>
  <si>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</si>
  <si>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</si>
  <si>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</si>
  <si>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</si>
  <si>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</si>
  <si>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</si>
  <si>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</si>
  <si>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</si>
  <si>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</si>
  <si>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</si>
  <si>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</si>
  <si>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</si>
  <si>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</si>
  <si>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</si>
  <si>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</si>
  <si>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</si>
  <si>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</si>
  <si>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</si>
  <si>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</si>
  <si>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</si>
  <si>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</si>
  <si>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</si>
  <si>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</si>
  <si>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</si>
  <si>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</si>
  <si>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</si>
  <si>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</si>
  <si>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</si>
  <si>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</si>
  <si>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</si>
  <si>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</si>
  <si>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</si>
  <si>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</si>
  <si>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</si>
  <si>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</si>
  <si>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</si>
  <si>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</si>
  <si>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</si>
  <si>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</si>
  <si>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</si>
  <si>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</si>
  <si>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</si>
  <si>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</si>
  <si>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</si>
  <si>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</si>
  <si>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</si>
  <si>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</si>
  <si>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</si>
  <si>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</si>
  <si>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</si>
  <si>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</si>
  <si>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</si>
  <si>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</si>
  <si>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</si>
  <si>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</si>
  <si>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</si>
  <si>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</si>
  <si>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</si>
  <si>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</si>
  <si>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</si>
  <si>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</si>
  <si>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</si>
  <si>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</si>
  <si>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</si>
  <si>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</si>
  <si>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</si>
  <si>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</si>
  <si>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</si>
  <si>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</si>
  <si>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</si>
  <si>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</si>
  <si>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</si>
  <si>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</si>
  <si>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</si>
  <si>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</si>
  <si>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</si>
  <si>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</si>
  <si>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</si>
  <si>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</si>
  <si>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</si>
  <si>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</si>
  <si>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</si>
  <si>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</si>
  <si>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</si>
  <si>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</si>
  <si>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</si>
  <si>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</si>
  <si>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</si>
  <si>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</si>
  <si>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</si>
  <si>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</si>
  <si>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</si>
  <si>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</si>
  <si>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</si>
  <si>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</si>
  <si>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</si>
  <si>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</si>
  <si>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</si>
  <si>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</si>
  <si>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</si>
  <si>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</si>
  <si>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</si>
  <si>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</si>
  <si>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</si>
  <si>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</si>
  <si>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</si>
  <si>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</si>
  <si>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</si>
  <si>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</si>
  <si>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</si>
  <si>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</si>
  <si>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</si>
  <si>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</si>
  <si>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</si>
  <si>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</si>
  <si>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</si>
  <si>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</si>
  <si>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</si>
  <si>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</si>
  <si>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</si>
  <si>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</si>
  <si>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</si>
  <si>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</si>
  <si>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</si>
  <si>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</si>
  <si>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</si>
  <si>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</si>
  <si>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</si>
  <si>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</si>
  <si>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</si>
  <si>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</si>
  <si>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</si>
  <si>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</si>
  <si>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</si>
  <si>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</si>
  <si>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</si>
  <si>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</si>
  <si>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</si>
  <si>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</si>
  <si>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</si>
  <si>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</si>
  <si>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</si>
  <si>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</si>
  <si>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</si>
  <si>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</si>
  <si>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</si>
  <si>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</si>
  <si>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</si>
  <si>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</si>
  <si>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</si>
  <si>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</si>
  <si>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</si>
  <si>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</si>
  <si>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</si>
  <si>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</si>
  <si>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</si>
  <si>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</si>
  <si>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</si>
  <si>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</si>
  <si>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</si>
  <si>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</si>
  <si>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</si>
  <si>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</si>
  <si>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</si>
  <si>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</si>
  <si>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</si>
  <si>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</si>
  <si>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</si>
  <si>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</si>
  <si>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</si>
  <si>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</si>
  <si>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</si>
  <si>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</si>
  <si>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</si>
  <si>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</si>
  <si>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</si>
  <si>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</si>
  <si>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</si>
  <si>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</si>
  <si>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</si>
  <si>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</si>
  <si>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</si>
  <si>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</si>
  <si>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</si>
  <si>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</si>
  <si>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</si>
  <si>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</si>
  <si>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</si>
  <si>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</si>
  <si>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</si>
  <si>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</si>
  <si>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</si>
  <si>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</si>
  <si>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</si>
  <si>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</si>
  <si>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</si>
  <si>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</si>
  <si>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</si>
  <si>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</si>
  <si>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</si>
  <si>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</si>
  <si>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</si>
  <si>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</si>
  <si>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</si>
  <si>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</si>
  <si>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</si>
  <si>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</si>
  <si>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</si>
  <si>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</si>
  <si>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</si>
  <si>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</si>
  <si>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</si>
  <si>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</si>
  <si>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</si>
  <si>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</si>
  <si>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</si>
  <si>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</si>
  <si>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</si>
  <si>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</si>
  <si>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</si>
  <si>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</si>
  <si>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</si>
  <si>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</si>
  <si>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</si>
  <si>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</si>
  <si>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</si>
  <si>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</si>
  <si>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</si>
  <si>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</si>
  <si>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</si>
  <si>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</si>
  <si>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</si>
  <si>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</si>
  <si>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</si>
  <si>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</si>
  <si>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</si>
  <si>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</si>
  <si>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</si>
  <si>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</si>
  <si>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</si>
  <si>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</si>
  <si>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</si>
  <si>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</si>
  <si>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</si>
  <si>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</si>
  <si>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</si>
  <si>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</si>
  <si>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</si>
  <si>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</si>
  <si>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</si>
  <si>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</si>
  <si>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</si>
  <si>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</si>
  <si>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</si>
  <si>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</si>
  <si>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</si>
  <si>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</si>
  <si>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</si>
  <si>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</si>
  <si>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</si>
  <si>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</si>
  <si>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</si>
  <si>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</si>
  <si>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</si>
  <si>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</si>
  <si>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</si>
  <si>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</si>
  <si>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</si>
  <si>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</si>
  <si>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</si>
  <si>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</si>
  <si>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</si>
  <si>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</si>
  <si>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</si>
  <si>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</si>
  <si>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</si>
  <si>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</si>
  <si>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</si>
  <si>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</si>
  <si>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</si>
  <si>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</si>
  <si>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</si>
  <si>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</si>
  <si>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</si>
  <si>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</si>
  <si>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</si>
  <si>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</si>
  <si>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</si>
  <si>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</si>
  <si>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</si>
  <si>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</si>
  <si>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</si>
  <si>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</si>
  <si>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</si>
  <si>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</si>
  <si>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</si>
  <si>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</si>
  <si>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</si>
  <si>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</si>
  <si>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</si>
  <si>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</si>
  <si>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</si>
  <si>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</si>
  <si>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</si>
  <si>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</si>
  <si>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</si>
  <si>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</si>
  <si>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</si>
  <si>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</si>
  <si>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</si>
  <si>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</si>
  <si>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</si>
  <si>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</si>
  <si>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</si>
  <si>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</si>
  <si>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</si>
  <si>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</si>
  <si>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</si>
  <si>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</si>
  <si>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</si>
  <si>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</si>
  <si>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</si>
  <si>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</si>
  <si>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</si>
  <si>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</si>
  <si>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</si>
  <si>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</si>
  <si>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</si>
  <si>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</si>
  <si>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</si>
  <si>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</si>
  <si>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</si>
  <si>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</si>
  <si>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</si>
  <si>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</si>
  <si>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</si>
  <si>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</si>
  <si>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</si>
  <si>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</si>
  <si>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</si>
  <si>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</si>
  <si>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</si>
  <si>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</si>
  <si>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</si>
  <si>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</si>
  <si>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</si>
  <si>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</si>
  <si>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</si>
  <si>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</si>
  <si>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</si>
  <si>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</si>
  <si>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</si>
  <si>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</si>
  <si>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</si>
  <si>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</si>
  <si>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</si>
  <si>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</si>
  <si>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</si>
  <si>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</si>
  <si>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</si>
  <si>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</si>
  <si>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</si>
  <si>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</si>
  <si>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</si>
  <si>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</si>
  <si>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</si>
  <si>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</si>
  <si>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</si>
  <si>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</si>
  <si>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</si>
  <si>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</si>
  <si>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</si>
  <si>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</si>
  <si>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</si>
  <si>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</si>
  <si>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</si>
  <si>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</si>
  <si>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</si>
  <si>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</si>
  <si>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</si>
  <si>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</si>
  <si>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</si>
  <si>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</si>
  <si>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</si>
  <si>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</si>
  <si>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</si>
  <si>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</si>
  <si>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</si>
  <si>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</si>
  <si>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</si>
  <si>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</si>
  <si>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</si>
  <si>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</si>
  <si>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</si>
  <si>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</si>
  <si>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</si>
  <si>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</si>
  <si>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</si>
  <si>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</si>
  <si>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</si>
  <si>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</si>
  <si>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</si>
  <si>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</si>
  <si>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</si>
  <si>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</si>
  <si>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</si>
  <si>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</si>
  <si>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</si>
  <si>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</si>
  <si>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</si>
  <si>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</si>
  <si>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</si>
  <si>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</si>
  <si>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</si>
  <si>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</si>
  <si>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</si>
  <si>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</si>
  <si>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</si>
  <si>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</si>
  <si>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</si>
  <si>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</si>
  <si>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</si>
  <si>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</si>
  <si>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</si>
  <si>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</si>
  <si>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</si>
  <si>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</si>
  <si>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</si>
  <si>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</si>
  <si>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</si>
  <si>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</si>
  <si>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</si>
  <si>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</si>
  <si>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</si>
  <si>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</si>
  <si>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</si>
  <si>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</si>
  <si>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</si>
  <si>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</si>
  <si>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</si>
  <si>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</si>
  <si>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</si>
  <si>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</si>
  <si>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</si>
  <si>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</si>
  <si>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</si>
  <si>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</si>
  <si>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</si>
  <si>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</si>
  <si>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</si>
  <si>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</si>
  <si>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</si>
  <si>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</si>
  <si>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</si>
  <si>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</si>
  <si>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</si>
  <si>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</si>
  <si>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</si>
  <si>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</si>
  <si>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</si>
  <si>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</si>
  <si>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</si>
  <si>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</si>
  <si>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</si>
  <si>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</si>
  <si>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</si>
  <si>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</si>
  <si>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</si>
  <si>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</si>
  <si>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</si>
  <si>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</si>
  <si>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</si>
  <si>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</si>
  <si>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</si>
  <si>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</si>
  <si>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</si>
  <si>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</si>
  <si>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</si>
  <si>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</si>
  <si>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</si>
  <si>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</si>
  <si>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</si>
  <si>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</si>
  <si>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</si>
  <si>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</si>
  <si>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</si>
  <si>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</si>
  <si>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</si>
  <si>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</si>
  <si>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</si>
  <si>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</si>
  <si>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</si>
  <si>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</si>
  <si>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</si>
  <si>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</si>
  <si>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</si>
  <si>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</si>
  <si>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</si>
  <si>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</si>
  <si>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</si>
  <si>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</si>
  <si>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</si>
  <si>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</si>
  <si>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</si>
  <si>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</si>
  <si>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</si>
  <si>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</si>
  <si>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</si>
  <si>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</si>
  <si>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</si>
  <si>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</si>
  <si>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</si>
  <si>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</si>
  <si>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</si>
  <si>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</si>
  <si>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</si>
  <si>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</si>
  <si>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</si>
  <si>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</si>
  <si>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</si>
  <si>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</si>
  <si>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</si>
  <si>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</si>
  <si>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</si>
  <si>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</si>
  <si>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</si>
  <si>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</si>
  <si>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</si>
  <si>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</si>
  <si>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</si>
  <si>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</si>
  <si>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</si>
  <si>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</si>
  <si>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</si>
  <si>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</si>
  <si>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</si>
  <si>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</si>
  <si>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</si>
  <si>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</si>
  <si>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</si>
  <si>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</si>
  <si>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</si>
  <si>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</si>
  <si>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</si>
  <si>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</si>
  <si>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</si>
  <si>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</si>
  <si>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</si>
  <si>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</si>
  <si>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</si>
  <si>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</si>
  <si>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</si>
  <si>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</si>
  <si>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</si>
  <si>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</si>
  <si>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</si>
  <si>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</si>
  <si>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</si>
  <si>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</si>
  <si>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</si>
  <si>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</si>
  <si>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</si>
  <si>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</si>
  <si>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</si>
  <si>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</si>
  <si>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</si>
  <si>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</si>
  <si>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</si>
  <si>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</si>
  <si>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</si>
  <si>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</si>
  <si>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</si>
  <si>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</si>
  <si>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</si>
  <si>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</si>
  <si>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</si>
  <si>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</si>
  <si>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</si>
  <si>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</si>
  <si>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</si>
  <si>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</si>
  <si>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</si>
  <si>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</si>
  <si>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</si>
  <si>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</si>
  <si>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</si>
  <si>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</si>
  <si>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</si>
  <si>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</si>
  <si>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</si>
  <si>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</si>
  <si>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</si>
  <si>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</si>
  <si>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</si>
  <si>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</si>
  <si>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</si>
  <si>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</si>
  <si>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</si>
  <si>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</si>
  <si>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</si>
  <si>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</si>
  <si>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</si>
  <si>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</si>
  <si>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</si>
  <si>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</si>
  <si>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</si>
  <si>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</si>
  <si>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</si>
  <si>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</si>
  <si>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</si>
  <si>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</si>
  <si>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</si>
  <si>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</si>
  <si>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</si>
  <si>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</si>
  <si>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</si>
  <si>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</si>
  <si>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</si>
  <si>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</si>
  <si>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</si>
  <si>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</si>
  <si>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</si>
  <si>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</si>
  <si>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</si>
  <si>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</si>
  <si>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</si>
  <si>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</si>
  <si>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</si>
  <si>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</si>
  <si>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</si>
  <si>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</si>
  <si>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</si>
  <si>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</si>
  <si>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</si>
  <si>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</si>
  <si>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</si>
  <si>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</si>
  <si>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</si>
  <si>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</si>
  <si>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</si>
  <si>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</si>
  <si>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</si>
  <si>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</si>
  <si>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</si>
  <si>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</si>
  <si>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</si>
  <si>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</si>
  <si>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</si>
  <si>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</si>
  <si>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</si>
  <si>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</si>
  <si>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</si>
  <si>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</si>
  <si>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</si>
  <si>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</si>
  <si>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</si>
  <si>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</si>
  <si>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</si>
  <si>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</si>
  <si>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</si>
  <si>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</si>
  <si>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</si>
  <si>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</si>
  <si>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</si>
  <si>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</si>
  <si>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</si>
  <si>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</si>
  <si>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</si>
  <si>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</si>
  <si>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</si>
  <si>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</si>
  <si>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</si>
  <si>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</si>
  <si>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</si>
  <si>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</si>
  <si>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</si>
  <si>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</si>
  <si>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</si>
  <si>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</si>
  <si>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</si>
  <si>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</si>
  <si>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</si>
  <si>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</si>
  <si>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</si>
  <si>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</si>
  <si>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</si>
  <si>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</si>
  <si>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</si>
  <si>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</si>
  <si>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</si>
  <si>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</si>
  <si>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</si>
  <si>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</si>
  <si>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</si>
  <si>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</si>
  <si>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</si>
  <si>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</si>
  <si>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</si>
  <si>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</si>
  <si>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</si>
  <si>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</si>
  <si>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</si>
  <si>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</si>
  <si>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</si>
  <si>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</si>
  <si>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</si>
  <si>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</si>
  <si>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</si>
  <si>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</si>
  <si>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</si>
  <si>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</si>
  <si>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</si>
  <si>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</si>
  <si>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</si>
  <si>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</si>
  <si>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</si>
  <si>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</si>
  <si>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</si>
  <si>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</si>
  <si>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</si>
  <si>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</si>
  <si>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</si>
  <si>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</si>
  <si>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</si>
  <si>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</si>
  <si>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</si>
  <si>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</si>
  <si>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</si>
  <si>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</si>
  <si>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</si>
  <si>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</si>
  <si>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</si>
  <si>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</si>
  <si>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</si>
  <si>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</si>
  <si>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</si>
  <si>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</si>
  <si>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</si>
  <si>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</si>
  <si>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</si>
  <si>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</si>
  <si>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</si>
  <si>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</si>
  <si>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</si>
  <si>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</si>
  <si>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</si>
  <si>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</si>
  <si>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</si>
  <si>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</si>
  <si>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</si>
  <si>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</si>
  <si>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</si>
  <si>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</si>
  <si>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</si>
  <si>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</si>
  <si>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</si>
  <si>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</si>
  <si>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</si>
  <si>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</si>
  <si>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</si>
  <si>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</si>
  <si>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</si>
  <si>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</si>
  <si>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</si>
  <si>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</si>
  <si>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</si>
  <si>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</si>
  <si>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</si>
  <si>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</si>
  <si>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</si>
  <si>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</si>
  <si>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</si>
  <si>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</si>
  <si>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</si>
  <si>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</si>
  <si>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</si>
  <si>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</si>
  <si>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</si>
  <si>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</si>
  <si>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</si>
  <si>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</si>
  <si>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</si>
  <si>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</si>
  <si>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</si>
  <si>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</si>
  <si>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</si>
  <si>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</si>
  <si>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</si>
  <si>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</si>
  <si>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</si>
  <si>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</si>
  <si>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</si>
  <si>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</si>
  <si>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</si>
  <si>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</si>
  <si>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</si>
  <si>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</si>
  <si>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</si>
  <si>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</si>
  <si>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</si>
  <si>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</si>
  <si>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</si>
  <si>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</si>
  <si>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</si>
  <si>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</si>
  <si>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</si>
  <si>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</si>
  <si>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</si>
  <si>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</si>
  <si>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</si>
  <si>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</si>
  <si>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</si>
  <si>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</si>
  <si>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</si>
  <si>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</si>
  <si>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</si>
  <si>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</si>
  <si>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</si>
  <si>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</si>
  <si>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</si>
  <si>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</si>
  <si>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</si>
  <si>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</si>
  <si>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</si>
  <si>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</si>
  <si>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</si>
  <si>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</si>
  <si>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</si>
  <si>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</si>
  <si>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</si>
  <si>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</si>
  <si>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</si>
  <si>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</si>
  <si>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</si>
  <si>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</si>
  <si>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</si>
  <si>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</si>
  <si>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</si>
  <si>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</si>
  <si>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</si>
  <si>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</si>
  <si>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</si>
  <si>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</si>
  <si>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</si>
  <si>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</si>
  <si>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</si>
  <si>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</si>
  <si>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</si>
  <si>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</si>
  <si>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</si>
  <si>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</si>
  <si>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</si>
  <si>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</si>
  <si>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</si>
  <si>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</si>
  <si>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</si>
  <si>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</si>
  <si>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</si>
  <si>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</si>
  <si>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</si>
  <si>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</si>
  <si>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</si>
  <si>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</si>
  <si>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</si>
  <si>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</si>
  <si>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</si>
  <si>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</si>
  <si>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</si>
  <si>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</si>
  <si>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</si>
  <si>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</si>
  <si>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</si>
  <si>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</si>
  <si>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</si>
  <si>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</si>
  <si>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</si>
  <si>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</si>
  <si>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</si>
  <si>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</si>
  <si>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</si>
  <si>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</si>
  <si>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</si>
  <si>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</si>
  <si>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</si>
  <si>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</si>
  <si>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</si>
  <si>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</si>
  <si>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</si>
  <si>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</si>
  <si>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</si>
  <si>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</si>
  <si>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</si>
  <si>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</si>
  <si>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</si>
  <si>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</si>
  <si>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</si>
  <si>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</si>
  <si>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</si>
  <si>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</si>
  <si>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</si>
  <si>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</si>
  <si>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</si>
  <si>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</si>
  <si>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</si>
  <si>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</si>
  <si>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</si>
  <si>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</si>
  <si>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</si>
  <si>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</si>
  <si>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</si>
  <si>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</si>
  <si>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</si>
  <si>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</si>
  <si>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</si>
  <si>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</si>
  <si>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</si>
  <si>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</si>
  <si>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</si>
  <si>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</si>
  <si>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</si>
  <si>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</si>
  <si>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</si>
  <si>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</si>
  <si>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</si>
  <si>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</si>
  <si>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</si>
  <si>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</si>
  <si>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</si>
  <si>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</si>
  <si>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</si>
  <si>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</si>
  <si>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</si>
  <si>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</si>
  <si>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</si>
  <si>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</si>
  <si>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</si>
  <si>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</si>
  <si>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</si>
  <si>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</si>
  <si>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</si>
  <si>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</si>
  <si>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</si>
  <si>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</si>
  <si>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</si>
  <si>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</si>
  <si>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</si>
  <si>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</si>
  <si>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</si>
  <si>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</si>
  <si>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</si>
  <si>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</si>
  <si>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</si>
  <si>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</si>
  <si>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</si>
  <si>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</si>
  <si>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</si>
  <si>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</si>
  <si>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</si>
  <si>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</si>
  <si>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</si>
  <si>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</si>
  <si>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</si>
  <si>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</si>
  <si>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</si>
  <si>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</si>
  <si>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</si>
  <si>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</si>
  <si>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</si>
  <si>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</si>
  <si>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</si>
  <si>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</si>
  <si>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</si>
  <si>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</si>
  <si>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</si>
  <si>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</si>
  <si>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</si>
  <si>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</si>
  <si>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</si>
  <si>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</si>
  <si>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</si>
  <si>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</si>
  <si>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</si>
  <si>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</si>
  <si>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</si>
  <si>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</si>
  <si>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</si>
  <si>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</si>
  <si>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</si>
  <si>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</si>
  <si>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</si>
  <si>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</si>
  <si>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</si>
  <si>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</si>
  <si>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</si>
  <si>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</si>
  <si>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</si>
  <si>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</si>
  <si>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</si>
  <si>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</si>
  <si>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</si>
  <si>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</si>
  <si>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</si>
  <si>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</si>
  <si>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</si>
  <si>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</si>
  <si>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</si>
  <si>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</si>
  <si>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</si>
  <si>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</si>
  <si>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</si>
  <si>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</si>
  <si>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</si>
  <si>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</si>
  <si>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</si>
  <si>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</si>
  <si>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</si>
  <si>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</si>
  <si>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</si>
  <si>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</si>
  <si>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</si>
  <si>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</si>
  <si>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</si>
  <si>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</si>
  <si>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</si>
  <si>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</si>
  <si>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</si>
  <si>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</si>
  <si>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</si>
  <si>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</si>
  <si>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</si>
  <si>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</si>
  <si>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</si>
  <si>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</si>
  <si>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</si>
  <si>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</si>
  <si>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</si>
  <si>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</si>
  <si>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</si>
  <si>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</si>
  <si>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</si>
  <si>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</si>
  <si>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</si>
  <si>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</si>
  <si>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</si>
  <si>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</si>
  <si>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</si>
  <si>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</si>
  <si>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</si>
  <si>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</si>
  <si>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</si>
  <si>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</si>
  <si>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</si>
  <si>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</si>
  <si>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</si>
  <si>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</si>
  <si>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</si>
  <si>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</si>
  <si>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</si>
  <si>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</si>
  <si>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</si>
  <si>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</si>
  <si>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</si>
  <si>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</si>
  <si>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</si>
  <si>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</si>
  <si>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</si>
  <si>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</si>
  <si>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</si>
  <si>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</si>
  <si>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</si>
  <si>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</si>
  <si>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</si>
  <si>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</si>
  <si>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</si>
  <si>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</si>
  <si>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</si>
  <si>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</si>
  <si>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</si>
  <si>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</si>
  <si>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</si>
  <si>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</si>
  <si>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</si>
  <si>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</si>
  <si>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</si>
  <si>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</si>
  <si>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</si>
  <si>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</si>
  <si>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</si>
  <si>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</si>
  <si>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</si>
  <si>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</si>
  <si>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</si>
  <si>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</si>
  <si>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</si>
  <si>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</si>
  <si>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</si>
  <si>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</si>
  <si>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</si>
  <si>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</si>
  <si>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</si>
  <si>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</si>
  <si>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</si>
  <si>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</si>
  <si>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</si>
  <si>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</si>
  <si>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</si>
  <si>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</si>
  <si>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</si>
  <si>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</si>
  <si>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</si>
  <si>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</si>
  <si>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</si>
  <si>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</si>
  <si>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</si>
  <si>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</si>
  <si>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</si>
  <si>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</si>
  <si>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</si>
  <si>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</si>
  <si>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</si>
  <si>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</si>
  <si>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</si>
  <si>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</si>
  <si>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</si>
  <si>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GREIFER 1450</t>
  </si>
  <si>
    <t>LTVL</t>
  </si>
  <si>
    <t>Sample</t>
  </si>
  <si>
    <t>GREIFER 1450 - 562 - TIGUAN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</si>
</sst>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49.800000000000004</c:v>
                </c:pt>
                <c:pt idx="2">
                  <c:v>34</c:v>
                </c:pt>
                <c:pt idx="3">
                  <c:v>34</c:v>
                </c:pt>
                <c:pt idx="4">
                  <c:v>32</c:v>
                </c:pt>
                <c:pt idx="6">
                  <c:v>27.8</c:v>
                </c:pt>
                <c:pt idx="7">
                  <c:v>24.700000000000003</c:v>
                </c:pt>
                <c:pt idx="8">
                  <c:v>31.900000000000002</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39.160721849705475</c:v>
                </c:pt>
              </c:numCache>
            </c:numRef>
          </c:xVal>
          <c:yVal>
            <c:numRef>
              <c:f>'Diagram Data'!$F$25</c:f>
              <c:numCache>
                <c:formatCode>0.00</c:formatCode>
                <c:ptCount val="1"/>
                <c:pt idx="0">
                  <c:v>427.78510919307365</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34.738034023374382</c:v>
                </c:pt>
              </c:numCache>
            </c:numRef>
          </c:xVal>
          <c:yVal>
            <c:numRef>
              <c:f>'Diagram Data'!$F$29</c:f>
              <c:numCache>
                <c:formatCode>0.00</c:formatCode>
                <c:ptCount val="1"/>
                <c:pt idx="0">
                  <c:v>427.78510919307365</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24.9367686136111</c:v>
                </c:pt>
              </c:numCache>
            </c:numRef>
          </c:xVal>
          <c:yVal>
            <c:numRef>
              <c:f>'Diagram Data'!$F$33</c:f>
              <c:numCache>
                <c:formatCode>0.00</c:formatCode>
                <c:ptCount val="1"/>
                <c:pt idx="0">
                  <c:v>226.15762973800349</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39.160336606059211</c:v>
                </c:pt>
                <c:pt idx="1">
                  <c:v>38.42010956338197</c:v>
                </c:pt>
                <c:pt idx="2">
                  <c:v>36.266461213864432</c:v>
                </c:pt>
                <c:pt idx="3">
                  <c:v>32.970392384245677</c:v>
                </c:pt>
                <c:pt idx="4">
                  <c:v>29.221568116762946</c:v>
                </c:pt>
                <c:pt idx="5">
                  <c:v>27.488558841899064</c:v>
                </c:pt>
                <c:pt idx="6">
                  <c:v>28.728331801903266</c:v>
                </c:pt>
                <c:pt idx="7">
                  <c:v>30.536173643412777</c:v>
                </c:pt>
                <c:pt idx="8">
                  <c:v>32.62526540102894</c:v>
                </c:pt>
                <c:pt idx="9">
                  <c:v>34.859331774533452</c:v>
                </c:pt>
                <c:pt idx="10">
                  <c:v>36.975569805501408</c:v>
                </c:pt>
                <c:pt idx="11">
                  <c:v>38.563395226726513</c:v>
                </c:pt>
                <c:pt idx="12">
                  <c:v>39.160336606059211</c:v>
                </c:pt>
                <c:pt idx="13">
                  <c:v>38.42010956338197</c:v>
                </c:pt>
                <c:pt idx="14">
                  <c:v>36.266461213864432</c:v>
                </c:pt>
                <c:pt idx="15">
                  <c:v>32.970392384245685</c:v>
                </c:pt>
                <c:pt idx="16">
                  <c:v>29.221568116762949</c:v>
                </c:pt>
                <c:pt idx="17">
                  <c:v>27.488558841899064</c:v>
                </c:pt>
                <c:pt idx="18">
                  <c:v>28.728331801903266</c:v>
                </c:pt>
                <c:pt idx="19">
                  <c:v>30.536173643412774</c:v>
                </c:pt>
                <c:pt idx="20">
                  <c:v>32.625265401028955</c:v>
                </c:pt>
                <c:pt idx="21">
                  <c:v>34.859331774533452</c:v>
                </c:pt>
                <c:pt idx="22">
                  <c:v>36.975569805501394</c:v>
                </c:pt>
                <c:pt idx="23">
                  <c:v>38.56339522672652</c:v>
                </c:pt>
                <c:pt idx="24">
                  <c:v>39.160336606059218</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24.807650014887805</c:v>
                </c:pt>
                <c:pt idx="1">
                  <c:v>24.350736340305325</c:v>
                </c:pt>
                <c:pt idx="2">
                  <c:v>25.282547835910407</c:v>
                </c:pt>
                <c:pt idx="3">
                  <c:v>27.353406363957625</c:v>
                </c:pt>
                <c:pt idx="4">
                  <c:v>30.008427054217627</c:v>
                </c:pt>
                <c:pt idx="5">
                  <c:v>32.536199256847326</c:v>
                </c:pt>
                <c:pt idx="6">
                  <c:v>34.259408451502246</c:v>
                </c:pt>
                <c:pt idx="7">
                  <c:v>34.716322126084719</c:v>
                </c:pt>
                <c:pt idx="8">
                  <c:v>33.784510630479645</c:v>
                </c:pt>
                <c:pt idx="9">
                  <c:v>31.713652102432423</c:v>
                </c:pt>
                <c:pt idx="10">
                  <c:v>29.058631412172424</c:v>
                </c:pt>
                <c:pt idx="11">
                  <c:v>26.530859209542729</c:v>
                </c:pt>
                <c:pt idx="12">
                  <c:v>24.807650014887805</c:v>
                </c:pt>
                <c:pt idx="13">
                  <c:v>24.350736340305332</c:v>
                </c:pt>
                <c:pt idx="14">
                  <c:v>25.282547835910407</c:v>
                </c:pt>
                <c:pt idx="15">
                  <c:v>27.353406363957625</c:v>
                </c:pt>
                <c:pt idx="16">
                  <c:v>30.00842705421762</c:v>
                </c:pt>
                <c:pt idx="17">
                  <c:v>32.536199256847326</c:v>
                </c:pt>
                <c:pt idx="18">
                  <c:v>34.259408451502239</c:v>
                </c:pt>
                <c:pt idx="19">
                  <c:v>34.716322126084719</c:v>
                </c:pt>
                <c:pt idx="20">
                  <c:v>33.784510630479645</c:v>
                </c:pt>
                <c:pt idx="21">
                  <c:v>31.713652102432427</c:v>
                </c:pt>
                <c:pt idx="22">
                  <c:v>29.058631412172424</c:v>
                </c:pt>
                <c:pt idx="23">
                  <c:v>26.530859209542726</c:v>
                </c:pt>
                <c:pt idx="24">
                  <c:v>24.807650014887805</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359.64254770568459</c:v>
                </c:pt>
              </c:numCache>
            </c:numRef>
          </c:xVal>
          <c:yVal>
            <c:numRef>
              <c:f>'Payload Input'!$J$89</c:f>
              <c:numCache>
                <c:formatCode>General</c:formatCode>
                <c:ptCount val="1"/>
                <c:pt idx="0">
                  <c:v>39.160721849705475</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102.38231181678086</c:v>
                </c:pt>
              </c:numCache>
            </c:numRef>
          </c:xVal>
          <c:yVal>
            <c:numRef>
              <c:f>'Payload Input'!$K$90</c:f>
              <c:numCache>
                <c:formatCode>General</c:formatCode>
                <c:ptCount val="1"/>
                <c:pt idx="0">
                  <c:v>34.738034023374382</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24.9367686136111</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fVi1nyUu22x7FSNJc4Y6sWvxrOC8uSLe3NjTC6vycWND0Z/u2T1BWKhAr+MDbO2d9eQcKNnJZoSPFU5FONc3vw==" saltValue="XpjJBq/Vy74DUE0rzZWBN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d1eEwfp188CnVQFTzBGandyTUTtKwGEefmeKCiKdeGP+T7vLCQWv2A/xMHWwg1KjypuTb6eE+isTdzxTHz7Ig==" saltValue="mUhoYh7+2US6EHzAOO2sl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0kxsefv0t2pMrDmfWNJjXoV+cfYUrdbaR3iGDr93YKl3u1sJqYyHSoUZbqzTbbFEobb1YlwLR+UJLRLtH7ImuA==" saltValue="glNE52swN3YEQuI0JUYe6g=="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1mWnwH3RuVro25zAgBqeqj+fqqNFDzwUE7eOXaY7wHkzFP2lMMSUvjU1ak/r5cY5c1RSEHMxsOKsf52sWva2wQ==" saltValue="VTJ9Ll3D/GgrV+jGhXnmX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zoomScaleNormal="100" workbookViewId="0">
      <selection activeCell="G5" sqref="G5:H5"/>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4041</v>
      </c>
      <c r="H5" s="814"/>
    </row>
    <row r="6" spans="1:8" s="74" customFormat="1" ht="15">
      <c r="B6" s="238" t="s">
        <v>3936</v>
      </c>
      <c r="C6" s="670" t="str">
        <f>'Misc Data'!C11</f>
        <v>CofG - SI</v>
      </c>
      <c r="F6" s="663" t="s">
        <v>3951</v>
      </c>
      <c r="G6" s="810" t="s">
        <v>4043</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92.978999999999999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-0.22533300000000001</v>
      </c>
      <c r="F13" s="661" t="s">
        <v>3913</v>
      </c>
      <c r="G13" s="129"/>
      <c r="H13" s="148" t="str">
        <f>'Wrist Load Analysis'!R16</f>
        <v>OK</v>
      </c>
    </row>
    <row r="14" spans="1:8" ht="13.5" thickBot="1">
      <c r="B14" s="141" t="str">
        <f>HLOOKUP(Anal_Payload_Code,Unit_text,5)</f>
        <v>Payload Center Y (m)</v>
      </c>
      <c r="C14" s="289">
        <v>-0.104057</v>
      </c>
      <c r="F14" s="662" t="s">
        <v>3914</v>
      </c>
      <c r="G14" s="64"/>
      <c r="H14" s="372" t="str">
        <f>'Wrist Load Analysis'!R17</f>
        <v>OK</v>
      </c>
    </row>
    <row r="15" spans="1:8">
      <c r="B15" s="141" t="str">
        <f>IF(Axis_Type=1,"--------------------------------",HLOOKUP(Anal_Payload_Code,Unit_text,6))</f>
        <v>Payload Center Z (m)</v>
      </c>
      <c r="C15" s="289">
        <v>0.16350500000000001</v>
      </c>
      <c r="F15" s="373"/>
      <c r="G15" s="147"/>
      <c r="H15" s="147"/>
    </row>
    <row r="16" spans="1:8">
      <c r="A16" s="224"/>
      <c r="B16" s="141" t="str">
        <f>HLOOKUP(Anal_Payload_Code,Unit_text,7)</f>
        <v>Payload Inertia Ix (Kg.m^2)</v>
      </c>
      <c r="C16" s="289">
        <v>18.486999999999998</v>
      </c>
      <c r="E16" s="224"/>
      <c r="F16" s="4"/>
      <c r="G16" s="129"/>
      <c r="H16" s="129"/>
    </row>
    <row r="17" spans="1:8" ht="13.5" thickBot="1">
      <c r="B17" s="225" t="str">
        <f>HLOOKUP(Anal_Payload_Code,Unit_text,8)</f>
        <v>Payload Inertia Iy (Kg.m^2)</v>
      </c>
      <c r="C17" s="290">
        <v>5.3209999999999997</v>
      </c>
      <c r="D17" s="224"/>
      <c r="F17" s="10"/>
      <c r="G17" s="223"/>
      <c r="H17" s="223"/>
    </row>
    <row r="18" spans="1:8" ht="16.149999999999999" customHeight="1" thickBot="1">
      <c r="B18" s="351" t="str">
        <f>IF(Axis_Type=1,"--------------------------------",HLOOKUP(Anal_Payload_Code,Unit_text,9))</f>
        <v>Payload Inertia Iz (Kg.m^2)</v>
      </c>
      <c r="C18" s="444">
        <v>19.209</v>
      </c>
      <c r="F18" s="656" t="s">
        <v>3956</v>
      </c>
      <c r="G18" s="146"/>
      <c r="H18" s="145"/>
    </row>
    <row r="19" spans="1:8" ht="16.5" thickBot="1">
      <c r="A19" s="224"/>
      <c r="C19" s="162"/>
      <c r="D19" s="162"/>
      <c r="E19" s="224"/>
      <c r="F19" s="665" t="s">
        <v>4037</v>
      </c>
      <c r="G19" s="149"/>
      <c r="H19" s="277">
        <f>'Wrist Load Analysis'!R20</f>
        <v>49.800000000000004</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92.978999999999999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34</v>
      </c>
    </row>
    <row r="23" spans="1:8">
      <c r="B23" s="661" t="s">
        <v>3942</v>
      </c>
      <c r="C23" s="287">
        <f>VLOOKUP('Misc Data'!$B$26,Table1,6)</f>
        <v>1225</v>
      </c>
      <c r="D23" s="314">
        <f>'Wrist Load Analysis'!R7</f>
        <v>427.78510919307365</v>
      </c>
      <c r="F23" s="661" t="s">
        <v>3959</v>
      </c>
      <c r="G23" s="327"/>
      <c r="H23" s="148">
        <f>'Wrist Load Analysis'!R23</f>
        <v>34</v>
      </c>
    </row>
    <row r="24" spans="1:8" ht="13.5" thickBot="1">
      <c r="A24" s="224"/>
      <c r="B24" s="661" t="s">
        <v>3943</v>
      </c>
      <c r="C24" s="287">
        <f>VLOOKUP('Misc Data'!$B$26,Table1,7)</f>
        <v>1225</v>
      </c>
      <c r="D24" s="314">
        <f>'Wrist Load Analysis'!R8</f>
        <v>427.78510919307365</v>
      </c>
      <c r="E24" s="224"/>
      <c r="F24" s="662" t="s">
        <v>3960</v>
      </c>
      <c r="G24" s="328"/>
      <c r="H24" s="279">
        <f>IF(Axis_Count=1,"-",'Wrist Load Analysis'!R24)</f>
        <v>32</v>
      </c>
    </row>
    <row r="25" spans="1:8">
      <c r="A25" s="224"/>
      <c r="B25" s="661" t="s">
        <v>3944</v>
      </c>
      <c r="C25" s="287">
        <f>VLOOKUP('Misc Data'!$B$26,Table1,8)</f>
        <v>706</v>
      </c>
      <c r="D25" s="314">
        <f>IF(Axis_Count=1,"-",'Wrist Load Analysis'!R9)</f>
        <v>226.15762973800349</v>
      </c>
      <c r="E25" s="224"/>
      <c r="F25" s="667" t="s">
        <v>3961</v>
      </c>
      <c r="G25" s="150"/>
      <c r="H25" s="312"/>
    </row>
    <row r="26" spans="1:8">
      <c r="A26" s="224"/>
      <c r="B26" s="661" t="s">
        <v>3945</v>
      </c>
      <c r="C26" s="287">
        <f>VLOOKUP('Misc Data'!$B$26,Table1,9)</f>
        <v>141.1</v>
      </c>
      <c r="D26" s="314">
        <f>'Wrist Load Analysis'!R10</f>
        <v>39.160721849705475</v>
      </c>
      <c r="E26" s="224"/>
      <c r="F26" s="661" t="s">
        <v>3958</v>
      </c>
      <c r="G26" s="226"/>
      <c r="H26" s="278">
        <f>'Wrist Load Analysis'!R26</f>
        <v>27.8</v>
      </c>
    </row>
    <row r="27" spans="1:8">
      <c r="A27" s="224"/>
      <c r="B27" s="661" t="s">
        <v>3946</v>
      </c>
      <c r="C27" s="287">
        <f>VLOOKUP('Misc Data'!$B$26,Table1,10)</f>
        <v>141.1</v>
      </c>
      <c r="D27" s="314">
        <f>'Wrist Load Analysis'!R11</f>
        <v>34.738034023374382</v>
      </c>
      <c r="E27" s="224"/>
      <c r="F27" s="661" t="s">
        <v>3959</v>
      </c>
      <c r="G27" s="227"/>
      <c r="H27" s="278">
        <f>'Wrist Load Analysis'!R27</f>
        <v>24.700000000000003</v>
      </c>
    </row>
    <row r="28" spans="1:8" ht="13.5" thickBot="1">
      <c r="A28" s="224"/>
      <c r="B28" s="662" t="s">
        <v>3947</v>
      </c>
      <c r="C28" s="440">
        <f>VLOOKUP('Misc Data'!$B$26,Table1,11)</f>
        <v>78.400000000000006</v>
      </c>
      <c r="D28" s="441">
        <f>IF(Axis_Count=1,"-",'Wrist Load Analysis'!R12)</f>
        <v>24.9367686136111</v>
      </c>
      <c r="E28" s="224"/>
      <c r="F28" s="662" t="s">
        <v>3960</v>
      </c>
      <c r="G28" s="228"/>
      <c r="H28" s="279">
        <f>IF(Axis_Count=1,"-",'Wrist Load Analysis'!R28)</f>
        <v>31.900000000000002</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lTL0ZWvBY4B1OFLczBQz1w0gCGUtzcWjbEpOQfYaPD4oHYEwpgHgBIKEMUm6w63TUYa3wQ7RNPbjAt3TCtzKg==" saltValue="d9FFFM3Ior5j6y2/yre6lg=="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R-2000iB/185L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1450 - 562 - TIGUAN</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GYVzGxpBo3/+GaDAcZ4BB6dnbISYFlmCXhOjJfFXZ0jcUOxH7EVFu7E6gfdESzH1cCroyNdQ6KD+16CuuDhfg==" saltValue="oegKKYqmHjZITABaI/zcSA=="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92.978999999999999</v>
      </c>
      <c r="G9" s="304"/>
      <c r="H9" s="295"/>
      <c r="I9" s="295"/>
    </row>
    <row r="10" spans="1:12" ht="13.5">
      <c r="A10" s="295"/>
      <c r="B10" s="303"/>
      <c r="C10" s="305">
        <v>3</v>
      </c>
      <c r="D10" s="295" t="s">
        <v>3756</v>
      </c>
      <c r="E10" s="295" t="str">
        <f>IF($E$22=TRUE,"[m]","[cm]")</f>
        <v>[cm]</v>
      </c>
      <c r="F10" s="306">
        <f>IF(Load_Set_2=FALSE,"-",IF($E$22=TRUE,Load_Set_2/100,Load_Set_2))</f>
        <v>-22.533000000000001</v>
      </c>
      <c r="G10" s="304"/>
      <c r="H10" s="295"/>
      <c r="I10" s="295"/>
    </row>
    <row r="11" spans="1:12" ht="13.5">
      <c r="A11" s="295"/>
      <c r="B11" s="303"/>
      <c r="C11" s="305">
        <v>4</v>
      </c>
      <c r="D11" s="295" t="s">
        <v>3011</v>
      </c>
      <c r="E11" s="295" t="str">
        <f>IF($E$22=TRUE,"[m]","[cm]")</f>
        <v>[cm]</v>
      </c>
      <c r="F11" s="306">
        <f>IF(Load_Set_3=FALSE,"-",IF($E$22=TRUE,Load_Set_3/100,Load_Set_3))</f>
        <v>-10.406000000000001</v>
      </c>
      <c r="G11" s="304"/>
      <c r="H11" s="295"/>
      <c r="I11" s="295"/>
    </row>
    <row r="12" spans="1:12" ht="13.5">
      <c r="A12" s="295"/>
      <c r="B12" s="376"/>
      <c r="C12" s="305">
        <v>5</v>
      </c>
      <c r="D12" s="295" t="s">
        <v>350</v>
      </c>
      <c r="E12" s="295" t="str">
        <f>IF($E$22=TRUE,"[m]","[cm]")</f>
        <v>[cm]</v>
      </c>
      <c r="F12" s="306">
        <f>IF(Load_Set_4=FALSE,"-",IF($E$22=TRUE,Load_Set_4/100,Load_Set_4))</f>
        <v>16.350999999999999</v>
      </c>
      <c r="G12" s="304"/>
      <c r="H12" s="295"/>
      <c r="I12" s="295"/>
    </row>
    <row r="13" spans="1:12" ht="13.5">
      <c r="A13" s="295"/>
      <c r="B13" s="303"/>
      <c r="C13" s="305">
        <v>6</v>
      </c>
      <c r="D13" s="295" t="s">
        <v>1116</v>
      </c>
      <c r="E13" s="295" t="str">
        <f>IF($E$22=TRUE,"[kgm^2]","[kgfcms^2]")</f>
        <v>[kgfcms^2]</v>
      </c>
      <c r="F13" s="306">
        <f>IF(Load_Set_5=FALSE,"-",IF($E$22=TRUE,Load_Set_5*0.098,Load_Set_5))</f>
        <v>188.643</v>
      </c>
      <c r="G13" s="304"/>
      <c r="H13" s="295"/>
      <c r="I13" s="295"/>
    </row>
    <row r="14" spans="1:12" ht="13.5">
      <c r="A14" s="295"/>
      <c r="B14" s="303"/>
      <c r="C14" s="305">
        <v>7</v>
      </c>
      <c r="D14" s="295" t="s">
        <v>1847</v>
      </c>
      <c r="E14" s="295" t="str">
        <f>IF($E$22=TRUE,"[kgm^2]","[kgfcms^2]")</f>
        <v>[kgfcms^2]</v>
      </c>
      <c r="F14" s="306">
        <f>IF(Load_Set_6=FALSE,"-",IF($E$22=TRUE,Load_Set_6*0.098,Load_Set_6))</f>
        <v>54.295999999999999</v>
      </c>
      <c r="G14" s="304"/>
      <c r="H14" s="295"/>
      <c r="I14" s="295"/>
    </row>
    <row r="15" spans="1:12" ht="13.5">
      <c r="A15" s="295"/>
      <c r="B15" s="303"/>
      <c r="C15" s="305">
        <v>8</v>
      </c>
      <c r="D15" s="295" t="s">
        <v>3012</v>
      </c>
      <c r="E15" s="295" t="str">
        <f>IF($E$22=TRUE,"[kgm^2]","[kgfcms^2]")</f>
        <v>[kgfcms^2]</v>
      </c>
      <c r="F15" s="306">
        <f>IF(Load_Set_7=FALSE,"-",IF($E$22=TRUE,Load_Set_7*0.098,Load_Set_7))</f>
        <v>196.01</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7z9skvc7oPyXvf+IeaZJ18uZqxhai4Lo6y7qOh1CTZjlb6TpbbaO5RibDj7h6QsiSZ+RgCw5PmEg/bF3/M1BQ==" saltValue="1fDTcQLW5eIdKKRKtSR5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C3" sqref="C3"/>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t="s">
        <v>4041</v>
      </c>
      <c r="D10" s="629" t="s">
        <v>4040</v>
      </c>
      <c r="E10" s="630" t="s">
        <v>298</v>
      </c>
      <c r="F10" s="631" t="s">
        <v>159</v>
      </c>
      <c r="G10" s="631" t="s">
        <v>4039</v>
      </c>
      <c r="H10" s="632">
        <v>86.215000000000003</v>
      </c>
      <c r="I10" s="632">
        <v>14</v>
      </c>
      <c r="J10" s="633" t="s">
        <v>138</v>
      </c>
      <c r="K10" s="633" t="s">
        <v>138</v>
      </c>
      <c r="L10" s="633" t="s">
        <v>138</v>
      </c>
      <c r="M10" s="633" t="s">
        <v>138</v>
      </c>
      <c r="N10" s="634"/>
      <c r="O10" s="635">
        <v>10106</v>
      </c>
      <c r="P10" s="635">
        <v>1</v>
      </c>
      <c r="Q10" s="631">
        <v>-2.45119E-2</v>
      </c>
      <c r="R10" s="631">
        <v>7.4725E-2</v>
      </c>
      <c r="S10" s="631">
        <v>0.17946899999999999</v>
      </c>
      <c r="T10" s="631">
        <v>3.41</v>
      </c>
      <c r="U10" s="631">
        <v>18.559000000000001</v>
      </c>
      <c r="V10" s="631">
        <v>17.390999999999998</v>
      </c>
      <c r="W10" s="636">
        <v>86.215000000000003</v>
      </c>
      <c r="X10" s="637">
        <v>-2.4510000000000001</v>
      </c>
      <c r="Y10" s="637">
        <v>7.4729999999999999</v>
      </c>
      <c r="Z10" s="637">
        <v>17.946999999999999</v>
      </c>
      <c r="AA10" s="637">
        <v>34.795999999999999</v>
      </c>
      <c r="AB10" s="637">
        <v>189.37799999999999</v>
      </c>
      <c r="AC10" s="637">
        <v>177.459</v>
      </c>
      <c r="AD10" s="768">
        <v>1</v>
      </c>
      <c r="AE10" s="769" t="s">
        <v>32</v>
      </c>
      <c r="AF10" s="769" t="s">
        <v>186</v>
      </c>
      <c r="AG10" s="769" t="s">
        <v>4042</v>
      </c>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v>1</v>
      </c>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v>1</v>
      </c>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1</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unWTqf2OiDpg/sn8E3Fzs7qvtPjnyFZ9iWVOTmD31Xx6qYM2sl4NLxzoA9wbMlgO0uUD3JuQ27hewCzJFBtxog==" saltValue="0IlH8oVYrJxgbx2jmlcWp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92.978999999999999</v>
      </c>
      <c r="H6" s="513" t="s">
        <v>2962</v>
      </c>
      <c r="I6" s="447">
        <f>IF((Anal_Payload_Code=1),Anal_Input_1,IF((Anal_Payload_Code=2),Anal_Input_1,0))</f>
        <v>92.978999999999999</v>
      </c>
      <c r="J6" s="447">
        <f>IF((Anal_Payload_Code=1),Anal_Input_1,IF((Anal_Payload_Code=2),Anal_Input_1,0))</f>
        <v>92.978999999999999</v>
      </c>
      <c r="K6" s="447">
        <f>IF((Anal_Payload_Code=1),Anal_Input_1,IF((Anal_Payload_Code=2),Anal_Input_1,0))</f>
        <v>92.978999999999999</v>
      </c>
      <c r="L6" s="6"/>
    </row>
    <row r="7" spans="2:18">
      <c r="B7" s="7" t="s">
        <v>2963</v>
      </c>
      <c r="C7" s="514">
        <f t="shared" ref="C7:C12" si="0">IF(Anal_Robot_Code=10105,J7,IF(Anal_Robot_Code=10112,J7,IF(Anal_Robot_Code=10111,K7,I7)))</f>
        <v>-0.22533300000000001</v>
      </c>
      <c r="D7" s="1"/>
      <c r="E7" s="1"/>
      <c r="H7" s="7" t="s">
        <v>2963</v>
      </c>
      <c r="I7" s="447">
        <f>IF((Anal_Payload_Code=1),Anal_Input_2,IF((Anal_Payload_Code=2),Anal_Input_2*0.01,0))</f>
        <v>-0.22533300000000001</v>
      </c>
      <c r="J7" s="448">
        <f>(0.007+L9)*SIN(RADIANS(30))+L7*COS(RADIANS(30))</f>
        <v>-0.10989160231095894</v>
      </c>
      <c r="K7" s="448">
        <f>(0.01+L9)*SIN(RADIANS(30))+L7*COS(RADIANS(30))</f>
        <v>-0.10839160231095894</v>
      </c>
      <c r="L7" s="369">
        <f>IF((Anal_Payload_Code=1),Anal_Input_2,IF((Anal_Payload_Code=2),Anal_Input_2*0.01,0))</f>
        <v>-0.22533300000000001</v>
      </c>
    </row>
    <row r="8" spans="2:18">
      <c r="B8" s="7" t="s">
        <v>2964</v>
      </c>
      <c r="C8" s="514">
        <f t="shared" si="0"/>
        <v>-0.104057</v>
      </c>
      <c r="D8" s="1"/>
      <c r="E8" s="1"/>
      <c r="H8" s="7" t="s">
        <v>2964</v>
      </c>
      <c r="I8" s="447">
        <f>IF((Anal_Payload_Code=1),Anal_Input_3,IF((Anal_Payload_Code=2),Anal_Input_3*0.01,0))</f>
        <v>-0.104057</v>
      </c>
      <c r="J8" s="447">
        <f>IF((Anal_Payload_Code=1),Anal_Input_3,IF((Anal_Payload_Code=2),Anal_Input_3*0.01,0))</f>
        <v>-0.104057</v>
      </c>
      <c r="K8" s="447">
        <f>IF((Anal_Payload_Code=1),Anal_Input_3,IF((Anal_Payload_Code=2),Anal_Input_3*0.01,0))</f>
        <v>-0.104057</v>
      </c>
      <c r="L8" s="6"/>
    </row>
    <row r="9" spans="2:18">
      <c r="B9" s="7" t="s">
        <v>840</v>
      </c>
      <c r="C9" s="514">
        <f t="shared" si="0"/>
        <v>0.16350500000000001</v>
      </c>
      <c r="D9" s="1"/>
      <c r="E9" s="1"/>
      <c r="H9" s="7" t="s">
        <v>840</v>
      </c>
      <c r="I9" s="447">
        <f>IF((Anal_Payload_Code=1),Anal_Input_4,IF((Anal_Payload_Code=2),Anal_Input_4*0.01,0))</f>
        <v>0.16350500000000001</v>
      </c>
      <c r="J9" s="448">
        <f>(0.007+L9)*COS(RADIANS(30))-L7*SIN(RADIANS(30))</f>
        <v>0.26032816147226573</v>
      </c>
      <c r="K9" s="448">
        <f>(0.01+L9)*COS(RADIANS(30))-L7*SIN(RADIANS(30))</f>
        <v>0.26292623768361906</v>
      </c>
      <c r="L9" s="369">
        <f>IF((Anal_Payload_Code=1),Anal_Input_4,IF((Anal_Payload_Code=2),Anal_Input_4*0.01,0))</f>
        <v>0.16350500000000001</v>
      </c>
    </row>
    <row r="10" spans="2:18">
      <c r="B10" s="7" t="s">
        <v>2965</v>
      </c>
      <c r="C10" s="514">
        <f t="shared" si="0"/>
        <v>18.486999999999998</v>
      </c>
      <c r="D10" s="1"/>
      <c r="E10" s="1"/>
      <c r="H10" s="7" t="s">
        <v>2965</v>
      </c>
      <c r="I10" s="447">
        <f>IF((Anal_Payload_Code=1),Anal_Input_5,IF((Anal_Payload_Code=2),Anal_Input_5*0.098,0))</f>
        <v>18.486999999999998</v>
      </c>
      <c r="J10" s="448">
        <f>L10*(COS(RADIANS(30)))^2+L12*(SIN(RADIANS(30)))^2</f>
        <v>18.6675</v>
      </c>
      <c r="K10" s="448">
        <f>L10*(COS(RADIANS(30)))^2+L12*(SIN(RADIANS(30)))^2</f>
        <v>18.6675</v>
      </c>
      <c r="L10" s="369">
        <f>IF((Anal_Payload_Code=1),Anal_Input_5,IF((Anal_Payload_Code=2),Anal_Input_5*0.098,0))</f>
        <v>18.486999999999998</v>
      </c>
    </row>
    <row r="11" spans="2:18">
      <c r="B11" s="7" t="s">
        <v>2362</v>
      </c>
      <c r="C11" s="514">
        <f t="shared" si="0"/>
        <v>5.3209999999999997</v>
      </c>
      <c r="D11" s="1"/>
      <c r="E11" s="1"/>
      <c r="H11" s="7" t="s">
        <v>2362</v>
      </c>
      <c r="I11" s="447">
        <f>IF((Anal_Payload_Code=1),Anal_Input_6,IF((Anal_Payload_Code=2),Anal_Input_6*0.098,0))</f>
        <v>5.3209999999999997</v>
      </c>
      <c r="J11" s="447">
        <f>IF((Anal_Payload_Code=1),Anal_Input_6,IF((Anal_Payload_Code=2),Anal_Input_6*0.098,0))</f>
        <v>5.3209999999999997</v>
      </c>
      <c r="K11" s="447">
        <f>IF((Anal_Payload_Code=1),Anal_Input_6,IF((Anal_Payload_Code=2),Anal_Input_6*0.098,0))</f>
        <v>5.3209999999999997</v>
      </c>
      <c r="L11" s="6"/>
    </row>
    <row r="12" spans="2:18">
      <c r="B12" s="7" t="s">
        <v>2363</v>
      </c>
      <c r="C12" s="514">
        <f t="shared" si="0"/>
        <v>19.209</v>
      </c>
      <c r="D12" s="1"/>
      <c r="E12" s="1"/>
      <c r="H12" s="7" t="s">
        <v>2363</v>
      </c>
      <c r="I12" s="447">
        <f>IF((Anal_Payload_Code=1),Anal_Input_7,IF((Anal_Payload_Code=2),Anal_Input_7*0.098,0))</f>
        <v>19.209</v>
      </c>
      <c r="J12" s="448">
        <f>L12*(COS(RADIANS(30)))^2+L10*(SIN(RADIANS(30)))^2</f>
        <v>19.028500000000001</v>
      </c>
      <c r="K12" s="448">
        <f>L12*(COS(RADIANS(30)))^2+L10*(SIN(RADIANS(30)))^2</f>
        <v>19.028500000000001</v>
      </c>
      <c r="L12" s="369">
        <f>IF((Anal_Payload_Code=1),Anal_Input_7,IF((Anal_Payload_Code=2),Anal_Input_7*0.098,0))</f>
        <v>19.209</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92.978999999999999</v>
      </c>
      <c r="Y18" s="522"/>
    </row>
    <row r="19" spans="2:27" s="513" customFormat="1" ht="15" thickBot="1">
      <c r="B19" s="523"/>
      <c r="C19" s="519" t="s">
        <v>1863</v>
      </c>
      <c r="D19" s="520" t="s">
        <v>1861</v>
      </c>
      <c r="E19" s="521">
        <f t="shared" ref="E19:E24" si="1">C7</f>
        <v>-0.22533300000000001</v>
      </c>
      <c r="Y19" s="522"/>
    </row>
    <row r="20" spans="2:27" s="513" customFormat="1" ht="15" thickBot="1">
      <c r="B20" s="524" t="s">
        <v>3276</v>
      </c>
      <c r="C20" s="519" t="s">
        <v>3277</v>
      </c>
      <c r="D20" s="520" t="s">
        <v>1861</v>
      </c>
      <c r="E20" s="521">
        <f t="shared" si="1"/>
        <v>-0.104057</v>
      </c>
      <c r="Y20" s="522"/>
    </row>
    <row r="21" spans="2:27" s="513" customFormat="1" ht="15" thickBot="1">
      <c r="B21" s="525"/>
      <c r="C21" s="519" t="s">
        <v>3278</v>
      </c>
      <c r="D21" s="520" t="s">
        <v>1861</v>
      </c>
      <c r="E21" s="521">
        <f t="shared" si="1"/>
        <v>0.16350500000000001</v>
      </c>
      <c r="Y21" s="522"/>
    </row>
    <row r="22" spans="2:27" s="513" customFormat="1" ht="15" thickBot="1">
      <c r="B22" s="526"/>
      <c r="C22" s="519" t="s">
        <v>3279</v>
      </c>
      <c r="D22" s="520" t="s">
        <v>3280</v>
      </c>
      <c r="E22" s="521">
        <f t="shared" si="1"/>
        <v>18.486999999999998</v>
      </c>
      <c r="Y22" s="522"/>
      <c r="AA22" s="527"/>
    </row>
    <row r="23" spans="2:27" s="513" customFormat="1" ht="15" thickBot="1">
      <c r="B23" s="524" t="s">
        <v>3281</v>
      </c>
      <c r="C23" s="519" t="s">
        <v>3282</v>
      </c>
      <c r="D23" s="520" t="s">
        <v>3280</v>
      </c>
      <c r="E23" s="521">
        <f t="shared" si="1"/>
        <v>5.3209999999999997</v>
      </c>
      <c r="Y23" s="522"/>
    </row>
    <row r="24" spans="2:27" s="513" customFormat="1" ht="15" thickBot="1">
      <c r="B24" s="528"/>
      <c r="C24" s="519" t="s">
        <v>3283</v>
      </c>
      <c r="D24" s="520" t="s">
        <v>3280</v>
      </c>
      <c r="E24" s="521">
        <f t="shared" si="1"/>
        <v>19.209</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427.78510919307365</v>
      </c>
      <c r="F31" s="530">
        <f>SQRT((SQRT($E$19^2+$E$20^2)+SQRT(($E$27+$E$28*COS($P$31*PI()/180))^2+$E$28^2*SIN($P$31*PI()/180)^2))^2+($E$21+$E$26)^2)</f>
        <v>0.46947742774599932</v>
      </c>
      <c r="H31" s="533" t="s">
        <v>2365</v>
      </c>
      <c r="I31" s="533" t="s">
        <v>19</v>
      </c>
      <c r="N31" s="539" t="s">
        <v>20</v>
      </c>
      <c r="O31" s="529"/>
      <c r="P31" s="521">
        <v>90</v>
      </c>
    </row>
    <row r="32" spans="2:27" s="513" customFormat="1" ht="14.25">
      <c r="B32" s="537" t="s">
        <v>21</v>
      </c>
      <c r="C32" s="536" t="s">
        <v>1618</v>
      </c>
      <c r="D32" s="530" t="s">
        <v>22</v>
      </c>
      <c r="E32" s="538">
        <f>$E$18*9.8*F32</f>
        <v>427.78510919307365</v>
      </c>
      <c r="F32" s="530">
        <f>SQRT((SQRT($E$19^2+$E$20^2)+$E$28*SIN($P$31*PI()/180))^2+($E$21+$E$26)^2)</f>
        <v>0.46947742774599932</v>
      </c>
      <c r="H32" s="533" t="s">
        <v>2366</v>
      </c>
      <c r="I32" s="533" t="s">
        <v>2162</v>
      </c>
      <c r="N32" s="533" t="s">
        <v>2163</v>
      </c>
    </row>
    <row r="33" spans="1:28" s="513" customFormat="1">
      <c r="B33" s="540"/>
      <c r="C33" s="536" t="s">
        <v>270</v>
      </c>
      <c r="D33" s="530" t="s">
        <v>2164</v>
      </c>
      <c r="E33" s="538">
        <f>$E$18*9.8*F33</f>
        <v>226.15762973800349</v>
      </c>
      <c r="F33" s="530">
        <f>SQRT($E$19^2+$E$20^2)</f>
        <v>0.24819915418469904</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39.160721849705475</v>
      </c>
      <c r="F36" s="530">
        <f>$E$18*$F31^2+MAX($E$22:$E$24)</f>
        <v>39.702413540000578</v>
      </c>
      <c r="G36" s="541" t="s">
        <v>2181</v>
      </c>
      <c r="H36" s="530">
        <f>$J$43</f>
        <v>39.160336606059218</v>
      </c>
      <c r="I36" s="530">
        <f>$J$89</f>
        <v>39.160721849705475</v>
      </c>
      <c r="J36" s="530">
        <f>$N$89</f>
        <v>-59.516405053243801</v>
      </c>
      <c r="K36" s="530">
        <f>$B$89</f>
        <v>359.64254770568459</v>
      </c>
    </row>
    <row r="37" spans="1:28" s="513" customFormat="1" ht="14.25">
      <c r="B37" s="537" t="s">
        <v>2182</v>
      </c>
      <c r="C37" s="536" t="s">
        <v>1618</v>
      </c>
      <c r="D37" s="530" t="s">
        <v>2180</v>
      </c>
      <c r="E37" s="538">
        <f>MAX(H37:I37)</f>
        <v>34.738034023374382</v>
      </c>
      <c r="F37" s="530">
        <f>$E$18*$F32^2+MAX($E$22:$E$23)</f>
        <v>38.980413540000576</v>
      </c>
      <c r="G37" s="530">
        <f>IF(E28=0,SQRT((E18*E19^2-E18*E20^2-E22+E23)^2/4+(E18*E19*E20)^2)+(E18*E19^2+E18*E20^2+E22+E23)/2+E18*(E21+E26)^2,"---")</f>
        <v>34.738034023374382</v>
      </c>
      <c r="H37" s="530">
        <f>$K$44</f>
        <v>34.716322126084719</v>
      </c>
      <c r="I37" s="530">
        <f>$K$90</f>
        <v>34.738034023374382</v>
      </c>
      <c r="J37" s="541" t="s">
        <v>2181</v>
      </c>
      <c r="K37" s="541">
        <f>$B$90</f>
        <v>102.38231181678086</v>
      </c>
    </row>
    <row r="38" spans="1:28" s="513" customFormat="1">
      <c r="B38" s="540"/>
      <c r="C38" s="536" t="s">
        <v>270</v>
      </c>
      <c r="D38" s="530" t="s">
        <v>2180</v>
      </c>
      <c r="E38" s="538">
        <f>G38</f>
        <v>24.9367686136111</v>
      </c>
      <c r="F38" s="530">
        <f>$E$18*$F33^2+$E$24</f>
        <v>24.9367686136111</v>
      </c>
      <c r="G38" s="530">
        <f>$E$18*($E$19^2+$E$20^2)+$E$24</f>
        <v>24.9367686136111</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39.160336606059218</v>
      </c>
    </row>
    <row r="44" spans="1:28" s="513" customFormat="1" ht="14.25">
      <c r="B44" s="517" t="s">
        <v>2905</v>
      </c>
      <c r="I44" s="544" t="s">
        <v>2906</v>
      </c>
      <c r="J44" s="530">
        <f>MAX(J46:J70)</f>
        <v>39.160336606059218</v>
      </c>
      <c r="K44" s="530">
        <f>MAX(K46:K70)</f>
        <v>34.716322126084719</v>
      </c>
      <c r="L44" s="545">
        <f>MAX(L46:L70)</f>
        <v>34.716322126084719</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-0.22533300000000001</v>
      </c>
      <c r="D46" s="530">
        <f t="shared" ref="D46:D70" si="3">$E$19*SIN(B46*PI()/180)+$E$20*COS(B46*PI()/180)</f>
        <v>-0.104057</v>
      </c>
      <c r="E46" s="530">
        <f t="shared" ref="E46:E70" si="4">$E$22*COS(B46*PI()/180)^2+$E$23*SIN(B46*PI()/180)^2</f>
        <v>18.486999999999998</v>
      </c>
      <c r="F46" s="530">
        <f t="shared" ref="F46:F70" si="5">$E$22*SIN(B46*PI()/180)^2+$E$23*COS(B46*PI()/180)^2</f>
        <v>5.3209999999999997</v>
      </c>
      <c r="G46" s="530">
        <f t="shared" ref="G46:G70" si="6">($E$18*(C46+$E$28)^2-$E$18*($E$21+$E$26)^2+$E$24-E46)/2</f>
        <v>-4.661319918945571</v>
      </c>
      <c r="H46" s="530">
        <f t="shared" ref="H46:H70" si="7">$E$18*(C46+$E$28)*($E$21+$E$26)</f>
        <v>-8.3491727034745349</v>
      </c>
      <c r="I46" s="530">
        <f t="shared" ref="I46:I70" si="8">$E$18*((C46+$E$28)^2+($E$21+$E$26)^2)/2+$E$18*(D46+$E$27)^2+($E$24+E46)/2</f>
        <v>29.598088532556673</v>
      </c>
      <c r="J46" s="530">
        <f>SQRT(G46^2+H46^2)+I46</f>
        <v>39.160336606059211</v>
      </c>
      <c r="K46" s="530">
        <f t="shared" ref="K46:K70" si="9">$E$18*((C46+$E$28)^2+($E$21+$E$26)^2)+F46</f>
        <v>24.807650014887805</v>
      </c>
      <c r="L46" s="556">
        <f t="shared" ref="L46:L70" si="10">$E$18*((D46+$E$28)^2+($E$21+$E$26)^2)+E46</f>
        <v>34.259408451502246</v>
      </c>
      <c r="M46" s="557"/>
      <c r="N46" s="526">
        <f>O53*180/PI()-INT(O53*180/PI()/360)*360</f>
        <v>102.38231181678086</v>
      </c>
      <c r="O46" s="530">
        <f>INDEX($B46:$B72,MATCH(K44,K46:K70,0))</f>
        <v>105</v>
      </c>
      <c r="P46" s="530">
        <f>($E$18*$E$19^2-$E$18*$E$20^2+$E$23-$E$22)/2</f>
        <v>-4.7258792183072194</v>
      </c>
      <c r="Q46" s="530">
        <f>-$E$18*$E$19*$E$20</f>
        <v>-2.1801228692373988</v>
      </c>
      <c r="R46" s="558" t="s">
        <v>1320</v>
      </c>
      <c r="T46" s="559"/>
      <c r="U46" s="560" t="s">
        <v>1321</v>
      </c>
      <c r="V46" s="561"/>
      <c r="W46" s="561"/>
      <c r="X46" s="561"/>
      <c r="Y46" s="561"/>
      <c r="Z46" s="561"/>
      <c r="AA46" s="561"/>
      <c r="AB46" s="562"/>
    </row>
    <row r="47" spans="1:28" s="513" customFormat="1">
      <c r="A47" s="530">
        <f>A46+1</f>
        <v>1</v>
      </c>
      <c r="B47" s="530">
        <f>B46+15</f>
        <v>15</v>
      </c>
      <c r="C47" s="530">
        <f t="shared" si="2"/>
        <v>-0.19072303083896164</v>
      </c>
      <c r="D47" s="530">
        <f t="shared" si="3"/>
        <v>-0.15883181559624787</v>
      </c>
      <c r="E47" s="530">
        <f t="shared" si="4"/>
        <v>17.605045233112961</v>
      </c>
      <c r="F47" s="530">
        <f t="shared" si="5"/>
        <v>6.2029547668870402</v>
      </c>
      <c r="G47" s="530">
        <f t="shared" si="6"/>
        <v>-4.8897767562368104</v>
      </c>
      <c r="H47" s="530">
        <f t="shared" si="7"/>
        <v>-7.0667834849071838</v>
      </c>
      <c r="I47" s="530">
        <f t="shared" si="8"/>
        <v>29.826545369847913</v>
      </c>
      <c r="J47" s="530">
        <f t="shared" ref="J47:J70" si="11">SQRT(G47^2+H47^2)+I47</f>
        <v>38.42010956338197</v>
      </c>
      <c r="K47" s="530">
        <f t="shared" si="9"/>
        <v>24.350736340305325</v>
      </c>
      <c r="L47" s="556">
        <f t="shared" si="10"/>
        <v>34.716322126084719</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-0.14311560231095893</v>
      </c>
      <c r="D48" s="530">
        <f t="shared" si="3"/>
        <v>-0.20278250544159732</v>
      </c>
      <c r="E48" s="530">
        <f t="shared" si="4"/>
        <v>15.195500000000001</v>
      </c>
      <c r="F48" s="530">
        <f t="shared" si="5"/>
        <v>8.6124999999999989</v>
      </c>
      <c r="G48" s="530">
        <f t="shared" si="6"/>
        <v>-4.4238710084342703</v>
      </c>
      <c r="H48" s="530">
        <f t="shared" si="7"/>
        <v>-5.3028046502552906</v>
      </c>
      <c r="I48" s="530">
        <f t="shared" si="8"/>
        <v>29.360639622045369</v>
      </c>
      <c r="J48" s="530">
        <f t="shared" si="11"/>
        <v>36.266461213864432</v>
      </c>
      <c r="K48" s="530">
        <f t="shared" si="9"/>
        <v>25.282547835910407</v>
      </c>
      <c r="L48" s="556">
        <f t="shared" si="10"/>
        <v>33.784510630479645</v>
      </c>
      <c r="M48" s="557"/>
      <c r="N48" s="530">
        <v>1</v>
      </c>
      <c r="O48" s="530">
        <f>O46*PI()/180</f>
        <v>1.8325957145940461</v>
      </c>
      <c r="P48" s="530">
        <f t="shared" ref="P48:P53" si="14">-2*$P$46*SIN(2*O48)+2*$Q$46*COS(2*O48)+2*$E$18*$E$28*(-$E$19*SIN(O48)-$E$20*COS(O48))</f>
        <v>-0.94979564204520583</v>
      </c>
      <c r="Q48" s="530">
        <f t="shared" ref="Q48:Q53" si="15">-4*$P$46*COS(2*O48)-4*$Q$46*SIN(2*O48)+2*$E$18*$E$28*(-$E$19*COS(O48)+$E$20*SIN(O48))</f>
        <v>-20.731171571558786</v>
      </c>
      <c r="R48" s="530">
        <f t="shared" ref="R48:R53" si="16">IF(Q48=0,O48,O48-P48/Q48)</f>
        <v>1.7867808585080429</v>
      </c>
      <c r="T48" s="559"/>
      <c r="U48" s="560" t="s">
        <v>2383</v>
      </c>
      <c r="V48" s="561"/>
      <c r="W48" s="561"/>
      <c r="X48" s="561"/>
      <c r="Y48" s="561"/>
      <c r="Z48" s="561"/>
      <c r="AA48" s="561"/>
      <c r="AB48" s="562"/>
    </row>
    <row r="49" spans="1:28" s="513" customFormat="1">
      <c r="A49" s="530">
        <f t="shared" si="12"/>
        <v>3</v>
      </c>
      <c r="B49" s="530">
        <f t="shared" si="13"/>
        <v>45</v>
      </c>
      <c r="C49" s="530">
        <f t="shared" si="2"/>
        <v>-8.5755081995179755E-2</v>
      </c>
      <c r="D49" s="530">
        <f t="shared" si="3"/>
        <v>-0.23291390265503686</v>
      </c>
      <c r="E49" s="530">
        <f t="shared" si="4"/>
        <v>11.904</v>
      </c>
      <c r="F49" s="530">
        <f t="shared" si="5"/>
        <v>11.903999999999998</v>
      </c>
      <c r="G49" s="530">
        <f t="shared" si="6"/>
        <v>-3.3884417444106605</v>
      </c>
      <c r="H49" s="530">
        <f t="shared" si="7"/>
        <v>-3.1774484419875266</v>
      </c>
      <c r="I49" s="530">
        <f t="shared" si="8"/>
        <v>28.325210358021764</v>
      </c>
      <c r="J49" s="530">
        <f t="shared" si="11"/>
        <v>32.970392384245677</v>
      </c>
      <c r="K49" s="530">
        <f t="shared" si="9"/>
        <v>27.353406363957625</v>
      </c>
      <c r="L49" s="556">
        <f t="shared" si="10"/>
        <v>31.713652102432423</v>
      </c>
      <c r="M49" s="557"/>
      <c r="N49" s="530">
        <f>N48+1</f>
        <v>2</v>
      </c>
      <c r="O49" s="530">
        <f>R48</f>
        <v>1.7867808585080429</v>
      </c>
      <c r="P49" s="530">
        <f t="shared" si="14"/>
        <v>2.6559315928778027E-3</v>
      </c>
      <c r="Q49" s="530">
        <f t="shared" si="15"/>
        <v>-20.818018483037932</v>
      </c>
      <c r="R49" s="530">
        <f t="shared" si="16"/>
        <v>1.786908437009092</v>
      </c>
      <c r="T49" s="559"/>
      <c r="U49" s="560" t="s">
        <v>2384</v>
      </c>
      <c r="V49" s="561"/>
      <c r="W49" s="561"/>
      <c r="X49" s="561" t="s">
        <v>2385</v>
      </c>
      <c r="Y49" s="561"/>
      <c r="Z49" s="561"/>
      <c r="AA49" s="561"/>
      <c r="AB49" s="562"/>
    </row>
    <row r="50" spans="1:28" s="513" customFormat="1">
      <c r="A50" s="530">
        <f t="shared" si="12"/>
        <v>4</v>
      </c>
      <c r="B50" s="530">
        <f t="shared" si="13"/>
        <v>60</v>
      </c>
      <c r="C50" s="530">
        <f t="shared" si="2"/>
        <v>-2.2550494558402703E-2</v>
      </c>
      <c r="D50" s="530">
        <f t="shared" si="3"/>
        <v>-0.24717260231095892</v>
      </c>
      <c r="E50" s="530">
        <f t="shared" si="4"/>
        <v>8.6125000000000007</v>
      </c>
      <c r="F50" s="530">
        <f t="shared" si="5"/>
        <v>15.195499999999997</v>
      </c>
      <c r="G50" s="530">
        <f t="shared" si="6"/>
        <v>-2.0609313992806602</v>
      </c>
      <c r="H50" s="530">
        <f t="shared" si="7"/>
        <v>-0.83555437338013905</v>
      </c>
      <c r="I50" s="530">
        <f t="shared" si="8"/>
        <v>26.997700012891762</v>
      </c>
      <c r="J50" s="530">
        <f t="shared" si="11"/>
        <v>29.221568116762946</v>
      </c>
      <c r="K50" s="530">
        <f t="shared" si="9"/>
        <v>30.008427054217627</v>
      </c>
      <c r="L50" s="556">
        <f t="shared" si="10"/>
        <v>29.058631412172424</v>
      </c>
      <c r="M50" s="557"/>
      <c r="N50" s="530">
        <f>N49+1</f>
        <v>3</v>
      </c>
      <c r="O50" s="530">
        <f>R49</f>
        <v>1.786908437009092</v>
      </c>
      <c r="P50" s="530">
        <f t="shared" si="14"/>
        <v>-5.7637450368019927E-11</v>
      </c>
      <c r="Q50" s="530">
        <f t="shared" si="15"/>
        <v>-20.818019160717466</v>
      </c>
      <c r="R50" s="530">
        <f t="shared" si="16"/>
        <v>1.7869084370063233</v>
      </c>
      <c r="T50" s="559"/>
      <c r="U50" s="560" t="s">
        <v>2386</v>
      </c>
      <c r="V50" s="561"/>
      <c r="W50" s="561"/>
      <c r="X50" s="561"/>
      <c r="Y50" s="561"/>
      <c r="Z50" s="561" t="s">
        <v>2387</v>
      </c>
      <c r="AA50" s="561"/>
      <c r="AB50" s="562"/>
    </row>
    <row r="51" spans="1:28" s="513" customFormat="1">
      <c r="A51" s="530">
        <f t="shared" si="12"/>
        <v>5</v>
      </c>
      <c r="B51" s="530">
        <f t="shared" si="13"/>
        <v>75</v>
      </c>
      <c r="C51" s="530">
        <f t="shared" si="2"/>
        <v>4.2190871816075268E-2</v>
      </c>
      <c r="D51" s="530">
        <f t="shared" si="3"/>
        <v>-0.24458689759142765</v>
      </c>
      <c r="E51" s="530">
        <f t="shared" si="4"/>
        <v>6.2029547668870402</v>
      </c>
      <c r="F51" s="530">
        <f t="shared" si="5"/>
        <v>17.605045233112961</v>
      </c>
      <c r="G51" s="530">
        <f t="shared" si="6"/>
        <v>-0.79704529796581225</v>
      </c>
      <c r="H51" s="530">
        <f t="shared" si="7"/>
        <v>1.5632813449542176</v>
      </c>
      <c r="I51" s="530">
        <f t="shared" si="8"/>
        <v>25.733813911576917</v>
      </c>
      <c r="J51" s="530">
        <f t="shared" si="11"/>
        <v>27.488558841899064</v>
      </c>
      <c r="K51" s="530">
        <f t="shared" si="9"/>
        <v>32.536199256847326</v>
      </c>
      <c r="L51" s="556">
        <f t="shared" si="10"/>
        <v>26.530859209542726</v>
      </c>
      <c r="M51" s="557"/>
      <c r="N51" s="530">
        <f>N50+1</f>
        <v>4</v>
      </c>
      <c r="O51" s="530">
        <f>R50</f>
        <v>1.7869084370063233</v>
      </c>
      <c r="P51" s="530">
        <f t="shared" si="14"/>
        <v>0</v>
      </c>
      <c r="Q51" s="530">
        <f t="shared" si="15"/>
        <v>-20.818019160717462</v>
      </c>
      <c r="R51" s="530">
        <f t="shared" si="16"/>
        <v>1.7869084370063233</v>
      </c>
      <c r="T51" s="564"/>
      <c r="U51" s="565" t="s">
        <v>2388</v>
      </c>
      <c r="V51" s="566"/>
      <c r="W51" s="566"/>
      <c r="X51" s="566"/>
      <c r="Y51" s="566"/>
      <c r="Z51" s="566"/>
      <c r="AA51" s="566"/>
      <c r="AB51" s="567"/>
    </row>
    <row r="52" spans="1:28" s="513" customFormat="1">
      <c r="A52" s="530">
        <f t="shared" si="12"/>
        <v>6</v>
      </c>
      <c r="B52" s="530">
        <f t="shared" si="13"/>
        <v>90</v>
      </c>
      <c r="C52" s="530">
        <f t="shared" si="2"/>
        <v>0.10405699999999998</v>
      </c>
      <c r="D52" s="530">
        <f t="shared" si="3"/>
        <v>-0.22533300000000001</v>
      </c>
      <c r="E52" s="530">
        <f t="shared" si="4"/>
        <v>5.3209999999999997</v>
      </c>
      <c r="F52" s="530">
        <f t="shared" si="5"/>
        <v>18.486999999999998</v>
      </c>
      <c r="G52" s="530">
        <f t="shared" si="6"/>
        <v>6.4559299361648392E-2</v>
      </c>
      <c r="H52" s="530">
        <f t="shared" si="7"/>
        <v>3.8555820230745144</v>
      </c>
      <c r="I52" s="530">
        <f t="shared" si="8"/>
        <v>24.872209314249453</v>
      </c>
      <c r="J52" s="530">
        <f t="shared" si="11"/>
        <v>28.728331801903266</v>
      </c>
      <c r="K52" s="530">
        <f t="shared" si="9"/>
        <v>34.259408451502246</v>
      </c>
      <c r="L52" s="556">
        <f t="shared" si="10"/>
        <v>24.807650014887805</v>
      </c>
      <c r="M52" s="557"/>
      <c r="N52" s="530">
        <f>N51+1</f>
        <v>5</v>
      </c>
      <c r="O52" s="530">
        <f>R51</f>
        <v>1.7869084370063233</v>
      </c>
      <c r="P52" s="530">
        <f t="shared" si="14"/>
        <v>0</v>
      </c>
      <c r="Q52" s="530">
        <f t="shared" si="15"/>
        <v>-20.818019160717462</v>
      </c>
      <c r="R52" s="530">
        <f t="shared" si="16"/>
        <v>1.7869084370063233</v>
      </c>
      <c r="T52" s="552" t="s">
        <v>2055</v>
      </c>
      <c r="U52" s="553" t="s">
        <v>2056</v>
      </c>
      <c r="V52" s="554"/>
      <c r="W52" s="554"/>
      <c r="X52" s="554"/>
      <c r="Y52" s="554"/>
      <c r="Z52" s="554"/>
      <c r="AA52" s="554"/>
      <c r="AB52" s="555"/>
    </row>
    <row r="53" spans="1:28" s="513" customFormat="1">
      <c r="A53" s="530">
        <f t="shared" si="12"/>
        <v>7</v>
      </c>
      <c r="B53" s="530">
        <f t="shared" si="13"/>
        <v>105</v>
      </c>
      <c r="C53" s="530">
        <f t="shared" si="2"/>
        <v>0.1588318155962479</v>
      </c>
      <c r="D53" s="530">
        <f t="shared" si="3"/>
        <v>-0.19072303083896164</v>
      </c>
      <c r="E53" s="530">
        <f t="shared" si="4"/>
        <v>6.2029547668870411</v>
      </c>
      <c r="F53" s="530">
        <f t="shared" si="5"/>
        <v>17.605045233112961</v>
      </c>
      <c r="G53" s="530">
        <f t="shared" si="6"/>
        <v>0.29301613665288695</v>
      </c>
      <c r="H53" s="530">
        <f t="shared" si="7"/>
        <v>5.8851311579728396</v>
      </c>
      <c r="I53" s="530">
        <f t="shared" si="8"/>
        <v>24.643752476958216</v>
      </c>
      <c r="J53" s="530">
        <f t="shared" si="11"/>
        <v>30.536173643412777</v>
      </c>
      <c r="K53" s="530">
        <f t="shared" si="9"/>
        <v>34.716322126084719</v>
      </c>
      <c r="L53" s="556">
        <f t="shared" si="10"/>
        <v>24.350736340305325</v>
      </c>
      <c r="M53" s="557"/>
      <c r="N53" s="530">
        <f>N52+1</f>
        <v>6</v>
      </c>
      <c r="O53" s="530">
        <f>R52</f>
        <v>1.7869084370063233</v>
      </c>
      <c r="P53" s="530">
        <f t="shared" si="14"/>
        <v>0</v>
      </c>
      <c r="Q53" s="530">
        <f t="shared" si="15"/>
        <v>-20.818019160717462</v>
      </c>
      <c r="R53" s="530">
        <f t="shared" si="16"/>
        <v>1.7869084370063233</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0.20278250544159729</v>
      </c>
      <c r="D54" s="530">
        <f t="shared" si="3"/>
        <v>-0.14311560231095896</v>
      </c>
      <c r="E54" s="530">
        <f t="shared" si="4"/>
        <v>8.6124999999999954</v>
      </c>
      <c r="F54" s="530">
        <f t="shared" si="5"/>
        <v>15.195500000000001</v>
      </c>
      <c r="G54" s="530">
        <f t="shared" si="6"/>
        <v>-0.1728896111496514</v>
      </c>
      <c r="H54" s="530">
        <f t="shared" si="7"/>
        <v>7.5136183300943955</v>
      </c>
      <c r="I54" s="530">
        <f t="shared" si="8"/>
        <v>25.10965822476075</v>
      </c>
      <c r="J54" s="530">
        <f t="shared" si="11"/>
        <v>32.62526540102894</v>
      </c>
      <c r="K54" s="530">
        <f t="shared" si="9"/>
        <v>33.784510630479645</v>
      </c>
      <c r="L54" s="556">
        <f t="shared" si="10"/>
        <v>25.282547835910407</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0.23291390265503686</v>
      </c>
      <c r="D55" s="530">
        <f t="shared" si="3"/>
        <v>-8.5755081995179755E-2</v>
      </c>
      <c r="E55" s="530">
        <f t="shared" si="4"/>
        <v>11.903999999999998</v>
      </c>
      <c r="F55" s="530">
        <f t="shared" si="5"/>
        <v>11.904</v>
      </c>
      <c r="G55" s="530">
        <f t="shared" si="6"/>
        <v>-1.2083188751732612</v>
      </c>
      <c r="H55" s="530">
        <f t="shared" si="7"/>
        <v>8.6300648298614</v>
      </c>
      <c r="I55" s="530">
        <f t="shared" si="8"/>
        <v>26.145087488784363</v>
      </c>
      <c r="J55" s="530">
        <f t="shared" si="11"/>
        <v>34.859331774533452</v>
      </c>
      <c r="K55" s="530">
        <f t="shared" si="9"/>
        <v>31.713652102432423</v>
      </c>
      <c r="L55" s="556">
        <f t="shared" si="10"/>
        <v>27.353406363957625</v>
      </c>
      <c r="M55" s="557"/>
      <c r="T55" s="559"/>
      <c r="U55" s="560" t="s">
        <v>2062</v>
      </c>
      <c r="V55" s="561"/>
      <c r="W55" s="561"/>
      <c r="X55" s="561"/>
      <c r="Y55" s="561"/>
      <c r="Z55" s="561"/>
      <c r="AA55" s="561"/>
      <c r="AB55" s="562"/>
    </row>
    <row r="56" spans="1:28" s="513" customFormat="1">
      <c r="A56" s="530">
        <f t="shared" si="12"/>
        <v>10</v>
      </c>
      <c r="B56" s="530">
        <f t="shared" si="13"/>
        <v>150</v>
      </c>
      <c r="C56" s="530">
        <f t="shared" si="2"/>
        <v>0.24717260231095894</v>
      </c>
      <c r="D56" s="530">
        <f t="shared" si="3"/>
        <v>-2.2550494558402648E-2</v>
      </c>
      <c r="E56" s="530">
        <f t="shared" si="4"/>
        <v>15.195500000000001</v>
      </c>
      <c r="F56" s="530">
        <f t="shared" si="5"/>
        <v>8.6124999999999989</v>
      </c>
      <c r="G56" s="530">
        <f t="shared" si="6"/>
        <v>-2.5358292203032624</v>
      </c>
      <c r="H56" s="530">
        <f t="shared" si="7"/>
        <v>9.1583866733298063</v>
      </c>
      <c r="I56" s="530">
        <f t="shared" si="8"/>
        <v>27.472597833914367</v>
      </c>
      <c r="J56" s="530">
        <f>SQRT(G56^2+H56^2)+I56</f>
        <v>36.975569805501408</v>
      </c>
      <c r="K56" s="530">
        <f t="shared" si="9"/>
        <v>29.058631412172424</v>
      </c>
      <c r="L56" s="556">
        <f t="shared" si="10"/>
        <v>30.008427054217627</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0.24458689759142765</v>
      </c>
      <c r="D57" s="530">
        <f t="shared" si="3"/>
        <v>4.2190871816075191E-2</v>
      </c>
      <c r="E57" s="530">
        <f t="shared" si="4"/>
        <v>17.605045233112957</v>
      </c>
      <c r="F57" s="530">
        <f t="shared" si="5"/>
        <v>6.2029547668870419</v>
      </c>
      <c r="G57" s="530">
        <f t="shared" si="6"/>
        <v>-3.799715321618109</v>
      </c>
      <c r="H57" s="530">
        <f t="shared" si="7"/>
        <v>9.0625795999603653</v>
      </c>
      <c r="I57" s="530">
        <f t="shared" si="8"/>
        <v>28.736483935229209</v>
      </c>
      <c r="J57" s="530">
        <f t="shared" si="11"/>
        <v>38.563395226726513</v>
      </c>
      <c r="K57" s="530">
        <f t="shared" si="9"/>
        <v>26.530859209542729</v>
      </c>
      <c r="L57" s="556">
        <f t="shared" si="10"/>
        <v>32.536199256847318</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0.22533300000000001</v>
      </c>
      <c r="D58" s="530">
        <f t="shared" si="3"/>
        <v>0.10405699999999997</v>
      </c>
      <c r="E58" s="530">
        <f t="shared" si="4"/>
        <v>18.486999999999998</v>
      </c>
      <c r="F58" s="530">
        <f t="shared" si="5"/>
        <v>5.3209999999999997</v>
      </c>
      <c r="G58" s="530">
        <f t="shared" si="6"/>
        <v>-4.661319918945571</v>
      </c>
      <c r="H58" s="530">
        <f t="shared" si="7"/>
        <v>8.3491727034745349</v>
      </c>
      <c r="I58" s="530">
        <f t="shared" si="8"/>
        <v>29.598088532556673</v>
      </c>
      <c r="J58" s="530">
        <f t="shared" si="11"/>
        <v>39.160336606059211</v>
      </c>
      <c r="K58" s="530">
        <f t="shared" si="9"/>
        <v>24.807650014887805</v>
      </c>
      <c r="L58" s="556">
        <f t="shared" si="10"/>
        <v>34.259408451502239</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0.19072303083896172</v>
      </c>
      <c r="D59" s="530">
        <f t="shared" si="3"/>
        <v>0.15883181559624782</v>
      </c>
      <c r="E59" s="530">
        <f t="shared" si="4"/>
        <v>17.605045233112961</v>
      </c>
      <c r="F59" s="530">
        <f t="shared" si="5"/>
        <v>6.2029547668870375</v>
      </c>
      <c r="G59" s="530">
        <f t="shared" si="6"/>
        <v>-4.8897767562368086</v>
      </c>
      <c r="H59" s="530">
        <f t="shared" si="7"/>
        <v>7.0667834849071864</v>
      </c>
      <c r="I59" s="530">
        <f t="shared" si="8"/>
        <v>29.826545369847913</v>
      </c>
      <c r="J59" s="530">
        <f t="shared" si="11"/>
        <v>38.42010956338197</v>
      </c>
      <c r="K59" s="530">
        <f t="shared" si="9"/>
        <v>24.350736340305332</v>
      </c>
      <c r="L59" s="556">
        <f t="shared" si="10"/>
        <v>34.716322126084719</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0.14311560231095891</v>
      </c>
      <c r="D60" s="530">
        <f t="shared" si="3"/>
        <v>0.20278250544159737</v>
      </c>
      <c r="E60" s="530">
        <f t="shared" si="4"/>
        <v>15.195499999999997</v>
      </c>
      <c r="F60" s="530">
        <f t="shared" si="5"/>
        <v>8.6125000000000007</v>
      </c>
      <c r="G60" s="530">
        <f t="shared" si="6"/>
        <v>-4.4238710084342694</v>
      </c>
      <c r="H60" s="530">
        <f t="shared" si="7"/>
        <v>5.3028046502552897</v>
      </c>
      <c r="I60" s="530">
        <f t="shared" si="8"/>
        <v>29.360639622045372</v>
      </c>
      <c r="J60" s="530">
        <f t="shared" si="11"/>
        <v>36.266461213864432</v>
      </c>
      <c r="K60" s="530">
        <f t="shared" si="9"/>
        <v>25.282547835910407</v>
      </c>
      <c r="L60" s="556">
        <f t="shared" si="10"/>
        <v>33.784510630479645</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8.5755081995179783E-2</v>
      </c>
      <c r="D61" s="530">
        <f t="shared" si="3"/>
        <v>0.23291390265503689</v>
      </c>
      <c r="E61" s="530">
        <f t="shared" si="4"/>
        <v>11.904000000000002</v>
      </c>
      <c r="F61" s="530">
        <f t="shared" si="5"/>
        <v>11.903999999999998</v>
      </c>
      <c r="G61" s="530">
        <f t="shared" si="6"/>
        <v>-3.3884417444106614</v>
      </c>
      <c r="H61" s="530">
        <f t="shared" si="7"/>
        <v>3.177448441987528</v>
      </c>
      <c r="I61" s="530">
        <f t="shared" si="8"/>
        <v>28.325210358021764</v>
      </c>
      <c r="J61" s="530">
        <f t="shared" si="11"/>
        <v>32.970392384245685</v>
      </c>
      <c r="K61" s="530">
        <f t="shared" si="9"/>
        <v>27.353406363957625</v>
      </c>
      <c r="L61" s="556">
        <f t="shared" si="10"/>
        <v>31.713652102432427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2.25504945584028E-2</v>
      </c>
      <c r="D62" s="530">
        <f t="shared" si="3"/>
        <v>0.24717260231095889</v>
      </c>
      <c r="E62" s="530">
        <f t="shared" si="4"/>
        <v>8.6125000000000043</v>
      </c>
      <c r="F62" s="530">
        <f t="shared" si="5"/>
        <v>15.195499999999994</v>
      </c>
      <c r="G62" s="530">
        <f t="shared" si="6"/>
        <v>-2.0609313992806619</v>
      </c>
      <c r="H62" s="530">
        <f t="shared" si="7"/>
        <v>0.83555437338014282</v>
      </c>
      <c r="I62" s="530">
        <f t="shared" si="8"/>
        <v>26.997700012891762</v>
      </c>
      <c r="J62" s="530">
        <f t="shared" si="11"/>
        <v>29.221568116762949</v>
      </c>
      <c r="K62" s="530">
        <f t="shared" si="9"/>
        <v>30.00842705421762</v>
      </c>
      <c r="L62" s="556">
        <f t="shared" si="10"/>
        <v>29.058631412172424</v>
      </c>
      <c r="M62" s="557"/>
      <c r="N62" s="550" t="s">
        <v>1313</v>
      </c>
      <c r="O62" s="550" t="s">
        <v>1314</v>
      </c>
      <c r="P62" s="549"/>
      <c r="Q62" s="570"/>
      <c r="R62" s="570"/>
      <c r="S62" s="570"/>
    </row>
    <row r="63" spans="1:28" s="513" customFormat="1" ht="14.25">
      <c r="A63" s="530">
        <f t="shared" si="12"/>
        <v>17</v>
      </c>
      <c r="B63" s="530">
        <f t="shared" si="13"/>
        <v>255</v>
      </c>
      <c r="C63" s="530">
        <f t="shared" si="2"/>
        <v>-4.2190871816075295E-2</v>
      </c>
      <c r="D63" s="530">
        <f t="shared" si="3"/>
        <v>0.24458689759142763</v>
      </c>
      <c r="E63" s="530">
        <f t="shared" si="4"/>
        <v>6.2029547668870393</v>
      </c>
      <c r="F63" s="530">
        <f t="shared" si="5"/>
        <v>17.605045233112961</v>
      </c>
      <c r="G63" s="530">
        <f t="shared" si="6"/>
        <v>-0.79704529796581181</v>
      </c>
      <c r="H63" s="530">
        <f t="shared" si="7"/>
        <v>-1.5632813449542187</v>
      </c>
      <c r="I63" s="530">
        <f t="shared" si="8"/>
        <v>25.733813911576917</v>
      </c>
      <c r="J63" s="530">
        <f t="shared" si="11"/>
        <v>27.488558841899064</v>
      </c>
      <c r="K63" s="530">
        <f t="shared" si="9"/>
        <v>32.536199256847326</v>
      </c>
      <c r="L63" s="556">
        <f t="shared" si="10"/>
        <v>26.530859209542726</v>
      </c>
      <c r="M63" s="557"/>
      <c r="N63" s="526">
        <f>O70*180/PI()-INT(O70*180/PI()/360)*360</f>
        <v>359.64254770568459</v>
      </c>
      <c r="O63" s="526">
        <f>INDEX($B73:$B85,MATCH($J$43,$J$73:$J$85,0))</f>
        <v>360</v>
      </c>
      <c r="P63" s="540"/>
      <c r="Q63" s="571"/>
      <c r="R63" s="571"/>
      <c r="S63" s="571"/>
      <c r="V63" s="571"/>
      <c r="W63" s="571"/>
      <c r="X63" s="571"/>
      <c r="Y63" s="571"/>
      <c r="Z63" s="571"/>
      <c r="AA63" s="571"/>
      <c r="AB63" s="572"/>
    </row>
    <row r="64" spans="1:28" s="513" customFormat="1">
      <c r="A64" s="530">
        <f t="shared" si="12"/>
        <v>18</v>
      </c>
      <c r="B64" s="530">
        <f t="shared" si="13"/>
        <v>270</v>
      </c>
      <c r="C64" s="530">
        <f t="shared" si="2"/>
        <v>-0.10405699999999996</v>
      </c>
      <c r="D64" s="530">
        <f t="shared" si="3"/>
        <v>0.22533300000000003</v>
      </c>
      <c r="E64" s="530">
        <f t="shared" si="4"/>
        <v>5.3209999999999997</v>
      </c>
      <c r="F64" s="530">
        <f t="shared" si="5"/>
        <v>18.486999999999998</v>
      </c>
      <c r="G64" s="530">
        <f t="shared" si="6"/>
        <v>6.4559299361648392E-2</v>
      </c>
      <c r="H64" s="530">
        <f t="shared" si="7"/>
        <v>-3.855582023074513</v>
      </c>
      <c r="I64" s="530">
        <f t="shared" si="8"/>
        <v>24.872209314249453</v>
      </c>
      <c r="J64" s="530">
        <f t="shared" si="11"/>
        <v>28.728331801903266</v>
      </c>
      <c r="K64" s="530">
        <f t="shared" si="9"/>
        <v>34.259408451502239</v>
      </c>
      <c r="L64" s="556">
        <f t="shared" si="10"/>
        <v>24.807650014887805</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-0.15883181559624795</v>
      </c>
      <c r="D65" s="530">
        <f t="shared" si="3"/>
        <v>0.19072303083896158</v>
      </c>
      <c r="E65" s="530">
        <f t="shared" si="4"/>
        <v>6.2029547668870428</v>
      </c>
      <c r="F65" s="530">
        <f t="shared" si="5"/>
        <v>17.605045233112957</v>
      </c>
      <c r="G65" s="530">
        <f t="shared" si="6"/>
        <v>0.29301613665288695</v>
      </c>
      <c r="H65" s="530">
        <f t="shared" si="7"/>
        <v>-5.8851311579728414</v>
      </c>
      <c r="I65" s="530">
        <f t="shared" si="8"/>
        <v>24.643752476958213</v>
      </c>
      <c r="J65" s="530">
        <f t="shared" si="11"/>
        <v>30.536173643412774</v>
      </c>
      <c r="K65" s="530">
        <f t="shared" si="9"/>
        <v>34.716322126084719</v>
      </c>
      <c r="L65" s="556">
        <f t="shared" si="10"/>
        <v>24.350736340305328</v>
      </c>
      <c r="M65" s="557"/>
      <c r="N65" s="530">
        <v>1</v>
      </c>
      <c r="O65" s="530">
        <f>O63*PI()/180</f>
        <v>6.2831853071795862</v>
      </c>
      <c r="P65" s="530">
        <f t="shared" ref="P65:P70" si="17">SIN(O65)</f>
        <v>-2.45029690981724E-16</v>
      </c>
      <c r="Q65" s="530">
        <f t="shared" ref="Q65:Q70" si="18">COS(O65)</f>
        <v>1</v>
      </c>
      <c r="R65" s="530">
        <f t="shared" ref="R65:R70" si="19">($E$18*($E$19*Q65-$E$20*P65+$E$28)^2-$E$18*($E$21+$E$26)^2+$E$24-$E$22*Q65^2-$E$23*P65^2)/2</f>
        <v>-4.6613199189455701</v>
      </c>
      <c r="S65" s="530">
        <f t="shared" ref="S65:S70" si="20">$E$18*($E$19*Q65-$E$20*P65+$E$28)*(-$E$19*P65-$E$20*Q65)-($E$23-$E$22)*P65*Q65</f>
        <v>-2.1801228692374011</v>
      </c>
      <c r="T65" s="530">
        <f t="shared" ref="T65:T70" si="21">$E$18*(-$E$19*P65-$E$20*Q65)^2+$E$18*($E$19*Q65-$E$20*P65+$E$28)*(-$E$19*Q65+$E$20*P65)-($E$23-$E$22)*(Q65^2-P65^2)</f>
        <v>9.4517584366144369</v>
      </c>
      <c r="U65" s="530">
        <f t="shared" ref="U65:U70" si="22">$E$18*($E$19*Q65-$E$20*P65+$E$28)*($E$21+$E$26)</f>
        <v>-8.3491727034745367</v>
      </c>
      <c r="V65" s="530">
        <f t="shared" ref="V65:V70" si="23">$E$18*($E$21+$E$26)*(-$E$19*P65-$E$20*Q65)</f>
        <v>3.855582023074513</v>
      </c>
      <c r="W65" s="530">
        <f t="shared" ref="W65:W70" si="24">$E$18*($E$21+$E$26)*(-$E$19*Q65+$E$20*P65)</f>
        <v>8.3491727034745367</v>
      </c>
      <c r="X65" s="530">
        <f t="shared" ref="X65:X70" si="25">S65+2*($E$23-$E$22)*P65*Q65+2*$E$18*($E$19*P65+$E$20*Q65+$E$27)*($E$19*Q65-$E$20*P65)</f>
        <v>2.1801228692374024</v>
      </c>
      <c r="Y65" s="530">
        <f t="shared" ref="Y65:Y70" si="26">T65+2*($E$23-$E$22)*(Q65^2-P65^2)+2*$E$18*($E$19*Q65-$E$20*P65)^2+2*$E$18*($E$19*P65+$E$20*Q65+$E$27)*(-$E$19*P65-$E$20*Q65)</f>
        <v>-9.4517584366144369</v>
      </c>
      <c r="Z65" s="530">
        <f t="shared" ref="Z65:Z70" si="27">IF(OR(R65,U65),(R65^2+U65^2)^(-0.5)*(R65*S65+U65*V65)+X65,0)</f>
        <v>-0.12358959017664617</v>
      </c>
      <c r="AA65" s="530">
        <f t="shared" ref="AA65:AA70" si="28">IF(OR(R65,U65),(-1)*(R65^2+U65^2)^(-1.5)*(R65*S65+U65*V65)^2+(R65^2+U65^2)^(-0.5)*(S65^2+R65*T65+V65^2+U65*W65)+Y65,0)</f>
        <v>-19.852555045491794</v>
      </c>
      <c r="AB65" s="530">
        <f t="shared" ref="AB65:AB70" si="29">IF(AA65=0,O65,O65-Z65/AA65)</f>
        <v>6.2769599326676691</v>
      </c>
    </row>
    <row r="66" spans="1:28" s="513" customFormat="1">
      <c r="A66" s="530">
        <f t="shared" si="12"/>
        <v>20</v>
      </c>
      <c r="B66" s="530">
        <f t="shared" si="13"/>
        <v>300</v>
      </c>
      <c r="C66" s="530">
        <f t="shared" si="2"/>
        <v>-0.20278250544159737</v>
      </c>
      <c r="D66" s="530">
        <f t="shared" si="3"/>
        <v>0.14311560231095891</v>
      </c>
      <c r="E66" s="530">
        <f t="shared" si="4"/>
        <v>8.6125000000000007</v>
      </c>
      <c r="F66" s="530">
        <f t="shared" si="5"/>
        <v>15.195499999999997</v>
      </c>
      <c r="G66" s="530">
        <f t="shared" si="6"/>
        <v>-0.17288961114965229</v>
      </c>
      <c r="H66" s="530">
        <f t="shared" si="7"/>
        <v>-7.5136183300943982</v>
      </c>
      <c r="I66" s="530">
        <f t="shared" si="8"/>
        <v>25.109658224760757</v>
      </c>
      <c r="J66" s="530">
        <f t="shared" si="11"/>
        <v>32.625265401028955</v>
      </c>
      <c r="K66" s="530">
        <f t="shared" si="9"/>
        <v>33.784510630479645</v>
      </c>
      <c r="L66" s="556">
        <f t="shared" si="10"/>
        <v>25.282547835910407</v>
      </c>
      <c r="M66" s="557"/>
      <c r="N66" s="530">
        <f>N65+1</f>
        <v>2</v>
      </c>
      <c r="O66" s="530">
        <f>AB65</f>
        <v>6.2769599326676691</v>
      </c>
      <c r="P66" s="530">
        <f t="shared" si="17"/>
        <v>-6.2253343009651858E-3</v>
      </c>
      <c r="Q66" s="530">
        <f t="shared" si="18"/>
        <v>0.99998062241867525</v>
      </c>
      <c r="R66" s="530">
        <f t="shared" si="19"/>
        <v>-4.6475650378165563</v>
      </c>
      <c r="S66" s="530">
        <f t="shared" si="20"/>
        <v>-2.2387931046579537</v>
      </c>
      <c r="T66" s="530">
        <f t="shared" si="21"/>
        <v>9.3967389120983817</v>
      </c>
      <c r="U66" s="530">
        <f t="shared" si="22"/>
        <v>-8.3730132037199088</v>
      </c>
      <c r="V66" s="530">
        <f t="shared" si="23"/>
        <v>3.803530920004687</v>
      </c>
      <c r="W66" s="530">
        <f t="shared" si="24"/>
        <v>8.3730132037199105</v>
      </c>
      <c r="X66" s="530">
        <f t="shared" si="25"/>
        <v>2.2387931046579537</v>
      </c>
      <c r="Y66" s="530">
        <f t="shared" si="26"/>
        <v>-9.39673891209838</v>
      </c>
      <c r="Z66" s="530">
        <f t="shared" si="27"/>
        <v>-2.6379381241659061E-4</v>
      </c>
      <c r="AA66" s="530">
        <f t="shared" si="28"/>
        <v>-19.767416988080416</v>
      </c>
      <c r="AB66" s="530">
        <f t="shared" si="29"/>
        <v>6.2769465877874264</v>
      </c>
    </row>
    <row r="67" spans="1:28" s="513" customFormat="1">
      <c r="A67" s="530">
        <f t="shared" si="12"/>
        <v>21</v>
      </c>
      <c r="B67" s="530">
        <f t="shared" si="13"/>
        <v>315</v>
      </c>
      <c r="C67" s="530">
        <f t="shared" si="2"/>
        <v>-0.23291390265503686</v>
      </c>
      <c r="D67" s="530">
        <f t="shared" si="3"/>
        <v>8.5755081995179797E-2</v>
      </c>
      <c r="E67" s="530">
        <f t="shared" si="4"/>
        <v>11.903999999999996</v>
      </c>
      <c r="F67" s="530">
        <f t="shared" si="5"/>
        <v>11.904000000000002</v>
      </c>
      <c r="G67" s="530">
        <f t="shared" si="6"/>
        <v>-1.2083188751732603</v>
      </c>
      <c r="H67" s="530">
        <f t="shared" si="7"/>
        <v>-8.6300648298614</v>
      </c>
      <c r="I67" s="530">
        <f t="shared" si="8"/>
        <v>26.145087488784363</v>
      </c>
      <c r="J67" s="530">
        <f t="shared" si="11"/>
        <v>34.859331774533452</v>
      </c>
      <c r="K67" s="530">
        <f t="shared" si="9"/>
        <v>31.713652102432427</v>
      </c>
      <c r="L67" s="556">
        <f t="shared" si="10"/>
        <v>27.353406363957625</v>
      </c>
      <c r="M67" s="557"/>
      <c r="N67" s="530">
        <f>N66+1</f>
        <v>3</v>
      </c>
      <c r="O67" s="530">
        <f>AB66</f>
        <v>6.2769465877874264</v>
      </c>
      <c r="P67" s="530">
        <f t="shared" si="17"/>
        <v>-6.238678922061593E-3</v>
      </c>
      <c r="Q67" s="530">
        <f t="shared" si="18"/>
        <v>0.99998053925329333</v>
      </c>
      <c r="R67" s="530">
        <f t="shared" si="19"/>
        <v>-4.6475351605539759</v>
      </c>
      <c r="S67" s="530">
        <f t="shared" si="20"/>
        <v>-2.2389185022159972</v>
      </c>
      <c r="T67" s="530">
        <f t="shared" si="21"/>
        <v>9.3966194030480619</v>
      </c>
      <c r="U67" s="530">
        <f t="shared" si="22"/>
        <v>-8.3730639606389765</v>
      </c>
      <c r="V67" s="530">
        <f t="shared" si="23"/>
        <v>3.8034191828075388</v>
      </c>
      <c r="W67" s="530">
        <f t="shared" si="24"/>
        <v>8.3730639606389783</v>
      </c>
      <c r="X67" s="530">
        <f t="shared" si="25"/>
        <v>2.2389185022159981</v>
      </c>
      <c r="Y67" s="530">
        <f t="shared" si="26"/>
        <v>-9.3966194030480636</v>
      </c>
      <c r="Z67" s="530">
        <f t="shared" si="27"/>
        <v>-1.2344858468793518E-9</v>
      </c>
      <c r="AA67" s="530">
        <f t="shared" si="28"/>
        <v>-19.76723197415139</v>
      </c>
      <c r="AB67" s="530">
        <f t="shared" si="29"/>
        <v>6.276946587724975</v>
      </c>
    </row>
    <row r="68" spans="1:28" s="513" customFormat="1">
      <c r="A68" s="530">
        <f t="shared" si="12"/>
        <v>22</v>
      </c>
      <c r="B68" s="530">
        <f t="shared" si="13"/>
        <v>330</v>
      </c>
      <c r="C68" s="530">
        <f t="shared" si="2"/>
        <v>-0.24717260231095889</v>
      </c>
      <c r="D68" s="530">
        <f t="shared" si="3"/>
        <v>2.25504945584028E-2</v>
      </c>
      <c r="E68" s="530">
        <f t="shared" si="4"/>
        <v>15.195499999999994</v>
      </c>
      <c r="F68" s="530">
        <f t="shared" si="5"/>
        <v>8.6125000000000043</v>
      </c>
      <c r="G68" s="530">
        <f t="shared" si="6"/>
        <v>-2.5358292203032606</v>
      </c>
      <c r="H68" s="530">
        <f t="shared" si="7"/>
        <v>-9.1583866733298027</v>
      </c>
      <c r="I68" s="530">
        <f t="shared" si="8"/>
        <v>27.47259783391436</v>
      </c>
      <c r="J68" s="530">
        <f t="shared" si="11"/>
        <v>36.975569805501394</v>
      </c>
      <c r="K68" s="530">
        <f t="shared" si="9"/>
        <v>29.058631412172424</v>
      </c>
      <c r="L68" s="556">
        <f t="shared" si="10"/>
        <v>30.00842705421762</v>
      </c>
      <c r="M68" s="557"/>
      <c r="N68" s="530">
        <f>N67+1</f>
        <v>4</v>
      </c>
      <c r="O68" s="530">
        <f>AB67</f>
        <v>6.276946587724975</v>
      </c>
      <c r="P68" s="530">
        <f t="shared" si="17"/>
        <v>-6.2386789845117552E-3</v>
      </c>
      <c r="Q68" s="530">
        <f t="shared" si="18"/>
        <v>0.99998053925290376</v>
      </c>
      <c r="R68" s="530">
        <f t="shared" si="19"/>
        <v>-4.6475351604141535</v>
      </c>
      <c r="S68" s="530">
        <f t="shared" si="20"/>
        <v>-2.2389185028028291</v>
      </c>
      <c r="T68" s="530">
        <f t="shared" si="21"/>
        <v>9.3966194024887706</v>
      </c>
      <c r="U68" s="530">
        <f t="shared" si="22"/>
        <v>-8.3730639608765056</v>
      </c>
      <c r="V68" s="530">
        <f t="shared" si="23"/>
        <v>3.8034191822846295</v>
      </c>
      <c r="W68" s="530">
        <f t="shared" si="24"/>
        <v>8.3730639608765056</v>
      </c>
      <c r="X68" s="530">
        <f t="shared" si="25"/>
        <v>2.2389185028028296</v>
      </c>
      <c r="Y68" s="530">
        <f t="shared" si="26"/>
        <v>-9.3966194024887724</v>
      </c>
      <c r="Z68" s="530">
        <f t="shared" si="27"/>
        <v>5.3290705182007514E-15</v>
      </c>
      <c r="AA68" s="530">
        <f t="shared" si="28"/>
        <v>-19.76723197328554</v>
      </c>
      <c r="AB68" s="530">
        <f t="shared" si="29"/>
        <v>6.276946587724975</v>
      </c>
    </row>
    <row r="69" spans="1:28" s="513" customFormat="1">
      <c r="A69" s="530">
        <f t="shared" si="12"/>
        <v>23</v>
      </c>
      <c r="B69" s="530">
        <f t="shared" si="13"/>
        <v>345</v>
      </c>
      <c r="C69" s="530">
        <f t="shared" si="2"/>
        <v>-0.24458689759142765</v>
      </c>
      <c r="D69" s="530">
        <f t="shared" si="3"/>
        <v>-4.2190871816075282E-2</v>
      </c>
      <c r="E69" s="530">
        <f t="shared" si="4"/>
        <v>17.605045233112961</v>
      </c>
      <c r="F69" s="530">
        <f t="shared" si="5"/>
        <v>6.2029547668870393</v>
      </c>
      <c r="G69" s="530">
        <f t="shared" si="6"/>
        <v>-3.7997153216181108</v>
      </c>
      <c r="H69" s="530">
        <f t="shared" si="7"/>
        <v>-9.0625795999603653</v>
      </c>
      <c r="I69" s="530">
        <f t="shared" si="8"/>
        <v>28.736483935229217</v>
      </c>
      <c r="J69" s="530">
        <f t="shared" si="11"/>
        <v>38.56339522672652</v>
      </c>
      <c r="K69" s="530">
        <f t="shared" si="9"/>
        <v>26.530859209542726</v>
      </c>
      <c r="L69" s="556">
        <f t="shared" si="10"/>
        <v>32.536199256847326</v>
      </c>
      <c r="M69" s="557"/>
      <c r="N69" s="530">
        <f>N68+1</f>
        <v>5</v>
      </c>
      <c r="O69" s="530">
        <f>AB68</f>
        <v>6.276946587724975</v>
      </c>
      <c r="P69" s="530">
        <f t="shared" si="17"/>
        <v>-6.2386789845117552E-3</v>
      </c>
      <c r="Q69" s="530">
        <f t="shared" si="18"/>
        <v>0.99998053925290376</v>
      </c>
      <c r="R69" s="530">
        <f t="shared" si="19"/>
        <v>-4.6475351604141535</v>
      </c>
      <c r="S69" s="530">
        <f t="shared" si="20"/>
        <v>-2.2389185028028291</v>
      </c>
      <c r="T69" s="530">
        <f t="shared" si="21"/>
        <v>9.3966194024887706</v>
      </c>
      <c r="U69" s="530">
        <f t="shared" si="22"/>
        <v>-8.3730639608765056</v>
      </c>
      <c r="V69" s="530">
        <f t="shared" si="23"/>
        <v>3.8034191822846295</v>
      </c>
      <c r="W69" s="530">
        <f t="shared" si="24"/>
        <v>8.3730639608765056</v>
      </c>
      <c r="X69" s="530">
        <f t="shared" si="25"/>
        <v>2.2389185028028296</v>
      </c>
      <c r="Y69" s="530">
        <f t="shared" si="26"/>
        <v>-9.3966194024887724</v>
      </c>
      <c r="Z69" s="530">
        <f t="shared" si="27"/>
        <v>5.3290705182007514E-15</v>
      </c>
      <c r="AA69" s="530">
        <f t="shared" si="28"/>
        <v>-19.76723197328554</v>
      </c>
      <c r="AB69" s="530">
        <f t="shared" si="29"/>
        <v>6.276946587724975</v>
      </c>
    </row>
    <row r="70" spans="1:28" s="513" customFormat="1">
      <c r="A70" s="530">
        <f t="shared" si="12"/>
        <v>24</v>
      </c>
      <c r="B70" s="530">
        <f t="shared" si="13"/>
        <v>360</v>
      </c>
      <c r="C70" s="530">
        <f t="shared" si="2"/>
        <v>-0.22533300000000003</v>
      </c>
      <c r="D70" s="530">
        <f t="shared" si="3"/>
        <v>-0.10405699999999994</v>
      </c>
      <c r="E70" s="530">
        <f t="shared" si="4"/>
        <v>18.486999999999998</v>
      </c>
      <c r="F70" s="530">
        <f t="shared" si="5"/>
        <v>5.3209999999999997</v>
      </c>
      <c r="G70" s="530">
        <f t="shared" si="6"/>
        <v>-4.6613199189455701</v>
      </c>
      <c r="H70" s="530">
        <f t="shared" si="7"/>
        <v>-8.3491727034745367</v>
      </c>
      <c r="I70" s="530">
        <f t="shared" si="8"/>
        <v>29.598088532556673</v>
      </c>
      <c r="J70" s="530">
        <f t="shared" si="11"/>
        <v>39.160336606059218</v>
      </c>
      <c r="K70" s="530">
        <f t="shared" si="9"/>
        <v>24.807650014887805</v>
      </c>
      <c r="L70" s="556">
        <f t="shared" si="10"/>
        <v>34.259408451502239</v>
      </c>
      <c r="M70" s="557"/>
      <c r="N70" s="530">
        <f>N69+1</f>
        <v>6</v>
      </c>
      <c r="O70" s="530">
        <f>AB69</f>
        <v>6.276946587724975</v>
      </c>
      <c r="P70" s="530">
        <f t="shared" si="17"/>
        <v>-6.2386789845117552E-3</v>
      </c>
      <c r="Q70" s="530">
        <f t="shared" si="18"/>
        <v>0.99998053925290376</v>
      </c>
      <c r="R70" s="530">
        <f t="shared" si="19"/>
        <v>-4.6475351604141535</v>
      </c>
      <c r="S70" s="530">
        <f t="shared" si="20"/>
        <v>-2.2389185028028291</v>
      </c>
      <c r="T70" s="530">
        <f t="shared" si="21"/>
        <v>9.3966194024887706</v>
      </c>
      <c r="U70" s="530">
        <f t="shared" si="22"/>
        <v>-8.3730639608765056</v>
      </c>
      <c r="V70" s="530">
        <f t="shared" si="23"/>
        <v>3.8034191822846295</v>
      </c>
      <c r="W70" s="530">
        <f t="shared" si="24"/>
        <v>8.3730639608765056</v>
      </c>
      <c r="X70" s="530">
        <f t="shared" si="25"/>
        <v>2.2389185028028296</v>
      </c>
      <c r="Y70" s="530">
        <f t="shared" si="26"/>
        <v>-9.3966194024887724</v>
      </c>
      <c r="Z70" s="530">
        <f t="shared" si="27"/>
        <v>5.3290705182007514E-15</v>
      </c>
      <c r="AA70" s="530">
        <f t="shared" si="28"/>
        <v>-19.76723197328554</v>
      </c>
      <c r="AB70" s="530">
        <f t="shared" si="29"/>
        <v>6.276946587724975</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348</v>
      </c>
      <c r="C73" s="530">
        <f t="shared" ref="C73:C85" si="31">$E$19*COS(B73*PI()/180)-$E$20*SIN(B73*PI()/180)</f>
        <v>-0.24204360012757425</v>
      </c>
      <c r="D73" s="530">
        <f t="shared" ref="D73:D85" si="32">$E$19*SIN(B73*PI()/180)+$E$20*COS(B73*PI()/180)</f>
        <v>-5.4933739862519322E-2</v>
      </c>
      <c r="E73" s="530">
        <f t="shared" ref="E73:E85" si="33">$E$22*COS(B73*PI()/180)^2+$E$23*SIN(B73*PI()/180)^2</f>
        <v>17.917869747661243</v>
      </c>
      <c r="F73" s="530">
        <f t="shared" ref="F73:F85" si="34">$E$22*SIN(B73*PI()/180)^2+$E$23*COS(B73*PI()/180)^2</f>
        <v>5.8901302523387615</v>
      </c>
      <c r="G73" s="530">
        <f t="shared" ref="G73:G85" si="35">($E$18*(C73+$E$28)^2-$E$18*($E$21+$E$26)^2+$E$24-E73)/2</f>
        <v>-4.0136651277548232</v>
      </c>
      <c r="H73" s="530">
        <f t="shared" ref="H73:H85" si="36">$E$18*(C73+$E$28)*($E$21+$E$26)</f>
        <v>-8.9683438255197796</v>
      </c>
      <c r="I73" s="530">
        <f t="shared" ref="I73:I85" si="37">$E$18*((C73+$E$28)^2+($E$21+$E$26)^2)/2+$E$18*(D73+$E$27)^2+($E$24+E73)/2</f>
        <v>28.950433741365927</v>
      </c>
      <c r="J73" s="530">
        <f>SQRT(G73^2+H73^2)+I73</f>
        <v>38.775946386032054</v>
      </c>
      <c r="K73" s="556">
        <f>IF(G73=0,0,IF((PI()/2-ATAN2(H73,G73))/2*180/PI()&gt;90,(PI()/2-ATAN2(H73,G73))/2*180/PI()-180,(PI()/2-ATAN2(H73,G73))/2*180/PI()))</f>
        <v>-57.055139561143079</v>
      </c>
      <c r="L73" s="556">
        <f>IF(G73=0,0,SQRT(G73^2+H73^2)*SIN(2*K73*PI()/180+ATAN2(H73,G73))+I73)</f>
        <v>38.775946386032054</v>
      </c>
    </row>
    <row r="74" spans="1:28" s="513" customFormat="1">
      <c r="A74" s="530">
        <v>1</v>
      </c>
      <c r="B74" s="530">
        <f t="shared" si="30"/>
        <v>350</v>
      </c>
      <c r="C74" s="530">
        <f t="shared" si="31"/>
        <v>-0.23997899383298771</v>
      </c>
      <c r="D74" s="530">
        <f t="shared" si="32"/>
        <v>-6.3347475536968678E-2</v>
      </c>
      <c r="E74" s="530">
        <f t="shared" si="33"/>
        <v>18.08999652263363</v>
      </c>
      <c r="F74" s="530">
        <f t="shared" si="34"/>
        <v>5.718003477366369</v>
      </c>
      <c r="G74" s="530">
        <f t="shared" si="35"/>
        <v>-4.1459942557742711</v>
      </c>
      <c r="H74" s="530">
        <f t="shared" si="36"/>
        <v>-8.891844801771887</v>
      </c>
      <c r="I74" s="530">
        <f t="shared" si="37"/>
        <v>29.082762869385373</v>
      </c>
      <c r="J74" s="530">
        <f>SQRT(G74^2+H74^2)+I74</f>
        <v>38.893683944784513</v>
      </c>
      <c r="K74" s="556">
        <f t="shared" ref="K74:K85" si="38">IF(G74=0,0,IF((PI()/2-ATAN2(H74,G74))/2*180/PI()&gt;90,(PI()/2-ATAN2(H74,G74))/2*180/PI()-180,(PI()/2-ATAN2(H74,G74))/2*180/PI()))</f>
        <v>-57.499097384848668</v>
      </c>
      <c r="L74" s="556">
        <f t="shared" ref="L74:L85" si="39">IF(G74=0,0,SQRT(G74^2+H74^2)*SIN(2*K74*PI()/180+ATAN2(H74,G74))+I74)</f>
        <v>38.893683944784513</v>
      </c>
    </row>
    <row r="75" spans="1:28" s="513" customFormat="1">
      <c r="A75" s="530">
        <f>A74+1</f>
        <v>2</v>
      </c>
      <c r="B75" s="530">
        <f t="shared" si="30"/>
        <v>352</v>
      </c>
      <c r="C75" s="530">
        <f t="shared" si="31"/>
        <v>-0.23762201010034584</v>
      </c>
      <c r="D75" s="530">
        <f t="shared" si="32"/>
        <v>-7.168403207040705E-2</v>
      </c>
      <c r="E75" s="530">
        <f t="shared" si="33"/>
        <v>18.231985744361953</v>
      </c>
      <c r="F75" s="530">
        <f t="shared" si="34"/>
        <v>5.5760142556380483</v>
      </c>
      <c r="G75" s="530">
        <f t="shared" si="35"/>
        <v>-4.2693219943704044</v>
      </c>
      <c r="H75" s="530">
        <f t="shared" si="36"/>
        <v>-8.8045124348167292</v>
      </c>
      <c r="I75" s="530">
        <f t="shared" si="37"/>
        <v>29.206090607981508</v>
      </c>
      <c r="J75" s="530">
        <f t="shared" ref="J75:J84" si="40">SQRT(G75^2+H75^2)+I75</f>
        <v>38.99110718979972</v>
      </c>
      <c r="K75" s="556">
        <f t="shared" si="38"/>
        <v>-57.934409933828221</v>
      </c>
      <c r="L75" s="556">
        <f t="shared" si="39"/>
        <v>38.99110718979972</v>
      </c>
    </row>
    <row r="76" spans="1:28" s="513" customFormat="1">
      <c r="A76" s="530">
        <f t="shared" ref="A76:A84" si="41">A75+1</f>
        <v>3</v>
      </c>
      <c r="B76" s="530">
        <f t="shared" si="30"/>
        <v>354</v>
      </c>
      <c r="C76" s="530">
        <f t="shared" si="31"/>
        <v>-0.23497552055126134</v>
      </c>
      <c r="D76" s="530">
        <f t="shared" si="32"/>
        <v>-7.9933252652846259E-2</v>
      </c>
      <c r="E76" s="530">
        <f t="shared" si="33"/>
        <v>18.343145655630639</v>
      </c>
      <c r="F76" s="530">
        <f t="shared" si="34"/>
        <v>5.4648543443693569</v>
      </c>
      <c r="G76" s="530">
        <f t="shared" si="35"/>
        <v>-4.3830475031976341</v>
      </c>
      <c r="H76" s="530">
        <f t="shared" si="36"/>
        <v>-8.7064531256909135</v>
      </c>
      <c r="I76" s="530">
        <f t="shared" si="37"/>
        <v>29.319816116808735</v>
      </c>
      <c r="J76" s="530">
        <f t="shared" si="40"/>
        <v>39.06729945586298</v>
      </c>
      <c r="K76" s="556">
        <f t="shared" si="38"/>
        <v>-58.36091673296859</v>
      </c>
      <c r="L76" s="556">
        <f t="shared" si="39"/>
        <v>39.06729945586298</v>
      </c>
    </row>
    <row r="77" spans="1:28" s="513" customFormat="1">
      <c r="A77" s="530">
        <f t="shared" si="41"/>
        <v>4</v>
      </c>
      <c r="B77" s="530">
        <f t="shared" si="30"/>
        <v>356</v>
      </c>
      <c r="C77" s="530">
        <f t="shared" si="31"/>
        <v>-0.23204274952558937</v>
      </c>
      <c r="D77" s="530">
        <f t="shared" si="32"/>
        <v>-8.8085086879701679E-2</v>
      </c>
      <c r="E77" s="530">
        <f t="shared" si="33"/>
        <v>18.422934696525758</v>
      </c>
      <c r="F77" s="530">
        <f t="shared" si="34"/>
        <v>5.3850653034742422</v>
      </c>
      <c r="G77" s="530">
        <f t="shared" si="35"/>
        <v>-4.4866167230086074</v>
      </c>
      <c r="H77" s="530">
        <f t="shared" si="36"/>
        <v>-8.5977863445577416</v>
      </c>
      <c r="I77" s="530">
        <f t="shared" si="37"/>
        <v>29.42338533661971</v>
      </c>
      <c r="J77" s="530">
        <f t="shared" si="40"/>
        <v>39.121408828334097</v>
      </c>
      <c r="K77" s="556">
        <f t="shared" si="38"/>
        <v>-58.77854064281884</v>
      </c>
      <c r="L77" s="556">
        <f t="shared" si="39"/>
        <v>39.121408828334097</v>
      </c>
    </row>
    <row r="78" spans="1:28" s="513" customFormat="1">
      <c r="A78" s="530">
        <f t="shared" si="41"/>
        <v>5</v>
      </c>
      <c r="B78" s="530">
        <f t="shared" si="30"/>
        <v>358</v>
      </c>
      <c r="C78" s="530">
        <f t="shared" si="31"/>
        <v>-0.22882727015306603</v>
      </c>
      <c r="D78" s="530">
        <f t="shared" si="32"/>
        <v>-9.6129602996661428E-2</v>
      </c>
      <c r="E78" s="530">
        <f t="shared" si="33"/>
        <v>18.470964142860421</v>
      </c>
      <c r="F78" s="530">
        <f t="shared" si="34"/>
        <v>5.3370358571395773</v>
      </c>
      <c r="G78" s="530">
        <f t="shared" si="35"/>
        <v>-4.5795250749751393</v>
      </c>
      <c r="H78" s="530">
        <f t="shared" si="36"/>
        <v>-8.478644485151186</v>
      </c>
      <c r="I78" s="530">
        <f t="shared" si="37"/>
        <v>29.516293688586238</v>
      </c>
      <c r="J78" s="530">
        <f t="shared" si="40"/>
        <v>39.152655150149968</v>
      </c>
      <c r="K78" s="556">
        <f t="shared" si="38"/>
        <v>-59.187288255905585</v>
      </c>
      <c r="L78" s="556">
        <f t="shared" si="39"/>
        <v>39.152655150149968</v>
      </c>
    </row>
    <row r="79" spans="1:28" s="513" customFormat="1" ht="14.25">
      <c r="A79" s="577">
        <f t="shared" si="41"/>
        <v>6</v>
      </c>
      <c r="B79" s="577">
        <f>INDEX($B46:$B70,MATCH($J$44,$J$46:$J$70,0))</f>
        <v>360</v>
      </c>
      <c r="C79" s="577">
        <f t="shared" si="31"/>
        <v>-0.22533300000000003</v>
      </c>
      <c r="D79" s="577">
        <f t="shared" si="32"/>
        <v>-0.10405699999999994</v>
      </c>
      <c r="E79" s="577">
        <f t="shared" si="33"/>
        <v>18.486999999999998</v>
      </c>
      <c r="F79" s="577">
        <f t="shared" si="34"/>
        <v>5.3209999999999997</v>
      </c>
      <c r="G79" s="577">
        <f t="shared" si="35"/>
        <v>-4.6613199189455701</v>
      </c>
      <c r="H79" s="577">
        <f t="shared" si="36"/>
        <v>-8.3491727034745367</v>
      </c>
      <c r="I79" s="577">
        <f t="shared" si="37"/>
        <v>29.598088532556673</v>
      </c>
      <c r="J79" s="577">
        <f t="shared" si="40"/>
        <v>39.160336606059218</v>
      </c>
      <c r="K79" s="556">
        <f t="shared" si="38"/>
        <v>-59.587250842735713</v>
      </c>
      <c r="L79" s="556">
        <f t="shared" si="39"/>
        <v>39.160336606059218</v>
      </c>
    </row>
    <row r="80" spans="1:28" s="513" customFormat="1">
      <c r="A80" s="530">
        <f t="shared" si="41"/>
        <v>7</v>
      </c>
      <c r="B80" s="530">
        <f t="shared" ref="B80:B85" si="42">B79+2</f>
        <v>362</v>
      </c>
      <c r="C80" s="530">
        <f t="shared" si="31"/>
        <v>-0.22156419629632185</v>
      </c>
      <c r="D80" s="530">
        <f t="shared" si="32"/>
        <v>-0.11185761957759055</v>
      </c>
      <c r="E80" s="530">
        <f t="shared" si="33"/>
        <v>18.470964142860421</v>
      </c>
      <c r="F80" s="530">
        <f t="shared" si="34"/>
        <v>5.3370358571395764</v>
      </c>
      <c r="G80" s="530">
        <f t="shared" si="35"/>
        <v>-4.7316027586620626</v>
      </c>
      <c r="H80" s="530">
        <f t="shared" si="36"/>
        <v>-8.2095287409501676</v>
      </c>
      <c r="I80" s="530">
        <f t="shared" si="37"/>
        <v>29.668371372273164</v>
      </c>
      <c r="J80" s="530">
        <f t="shared" si="40"/>
        <v>39.143835836575974</v>
      </c>
      <c r="K80" s="556">
        <f t="shared" si="38"/>
        <v>-59.978606044199651</v>
      </c>
      <c r="L80" s="556">
        <f t="shared" si="39"/>
        <v>39.143835836575974</v>
      </c>
    </row>
    <row r="81" spans="1:16" s="513" customFormat="1">
      <c r="A81" s="530">
        <f t="shared" si="41"/>
        <v>8</v>
      </c>
      <c r="B81" s="530">
        <f t="shared" si="42"/>
        <v>364</v>
      </c>
      <c r="C81" s="530">
        <f t="shared" si="31"/>
        <v>-0.21752545074880456</v>
      </c>
      <c r="D81" s="530">
        <f t="shared" si="32"/>
        <v>-0.11952195787607149</v>
      </c>
      <c r="E81" s="530">
        <f t="shared" si="33"/>
        <v>18.422934696525758</v>
      </c>
      <c r="F81" s="530">
        <f t="shared" si="34"/>
        <v>5.3850653034742431</v>
      </c>
      <c r="G81" s="530">
        <f t="shared" si="35"/>
        <v>-4.7900311831943299</v>
      </c>
      <c r="H81" s="530">
        <f t="shared" si="36"/>
        <v>-8.0598827322359057</v>
      </c>
      <c r="I81" s="530">
        <f t="shared" si="37"/>
        <v>29.726799796805434</v>
      </c>
      <c r="J81" s="530">
        <f t="shared" si="40"/>
        <v>39.102625541419535</v>
      </c>
      <c r="K81" s="556">
        <f t="shared" si="38"/>
        <v>-60.361620534135795</v>
      </c>
      <c r="L81" s="556">
        <f t="shared" si="39"/>
        <v>39.102625541419535</v>
      </c>
    </row>
    <row r="82" spans="1:16" s="513" customFormat="1">
      <c r="A82" s="530">
        <f t="shared" si="41"/>
        <v>9</v>
      </c>
      <c r="B82" s="530">
        <f t="shared" si="42"/>
        <v>366</v>
      </c>
      <c r="C82" s="530">
        <f t="shared" si="31"/>
        <v>-0.21322168394677699</v>
      </c>
      <c r="D82" s="530">
        <f t="shared" si="32"/>
        <v>-0.12704067707982647</v>
      </c>
      <c r="E82" s="530">
        <f t="shared" si="33"/>
        <v>18.343145655630643</v>
      </c>
      <c r="F82" s="530">
        <f t="shared" si="34"/>
        <v>5.4648543443693551</v>
      </c>
      <c r="G82" s="530">
        <f t="shared" si="35"/>
        <v>-4.8363205351312466</v>
      </c>
      <c r="H82" s="530">
        <f t="shared" si="36"/>
        <v>-7.9004169979421786</v>
      </c>
      <c r="I82" s="530">
        <f t="shared" si="37"/>
        <v>29.773089148742347</v>
      </c>
      <c r="J82" s="530">
        <f t="shared" si="40"/>
        <v>39.03627353964734</v>
      </c>
      <c r="K82" s="556">
        <f t="shared" si="38"/>
        <v>-60.736653910947183</v>
      </c>
      <c r="L82" s="556">
        <f t="shared" si="39"/>
        <v>39.03627353964734</v>
      </c>
    </row>
    <row r="83" spans="1:16" s="513" customFormat="1">
      <c r="A83" s="530">
        <f t="shared" si="41"/>
        <v>10</v>
      </c>
      <c r="B83" s="530">
        <f t="shared" si="42"/>
        <v>368</v>
      </c>
      <c r="C83" s="530">
        <f t="shared" si="31"/>
        <v>-0.20865813936714286</v>
      </c>
      <c r="D83" s="530">
        <f t="shared" si="32"/>
        <v>-0.13440461678767582</v>
      </c>
      <c r="E83" s="530">
        <f t="shared" si="33"/>
        <v>18.231985744361957</v>
      </c>
      <c r="F83" s="530">
        <f t="shared" si="34"/>
        <v>5.5760142556380439</v>
      </c>
      <c r="G83" s="530">
        <f t="shared" si="35"/>
        <v>-4.8702452974031711</v>
      </c>
      <c r="H83" s="530">
        <f t="shared" si="36"/>
        <v>-7.7313258225024057</v>
      </c>
      <c r="I83" s="530">
        <f t="shared" si="37"/>
        <v>29.807013911014273</v>
      </c>
      <c r="J83" s="530">
        <f t="shared" si="40"/>
        <v>38.944447261281198</v>
      </c>
      <c r="K83" s="556">
        <f t="shared" si="38"/>
        <v>-61.10416412349322</v>
      </c>
      <c r="L83" s="556">
        <f t="shared" si="39"/>
        <v>38.944447261281198</v>
      </c>
    </row>
    <row r="84" spans="1:16" s="513" customFormat="1">
      <c r="A84" s="530">
        <f t="shared" si="41"/>
        <v>11</v>
      </c>
      <c r="B84" s="530">
        <f t="shared" si="42"/>
        <v>370</v>
      </c>
      <c r="C84" s="530">
        <f t="shared" si="31"/>
        <v>-0.20384037698601218</v>
      </c>
      <c r="D84" s="530">
        <f t="shared" si="32"/>
        <v>-0.14160480517341367</v>
      </c>
      <c r="E84" s="530">
        <f t="shared" si="33"/>
        <v>18.089996522633633</v>
      </c>
      <c r="F84" s="530">
        <f t="shared" si="34"/>
        <v>5.7180034773663628</v>
      </c>
      <c r="G84" s="530">
        <f t="shared" si="35"/>
        <v>-4.8916401919784169</v>
      </c>
      <c r="H84" s="530">
        <f t="shared" si="36"/>
        <v>-7.5528152174673551</v>
      </c>
      <c r="I84" s="530">
        <f t="shared" si="37"/>
        <v>29.828408805589518</v>
      </c>
      <c r="J84" s="530">
        <f t="shared" si="40"/>
        <v>38.826917653003356</v>
      </c>
      <c r="K84" s="556">
        <f t="shared" si="38"/>
        <v>-61.464714798023522</v>
      </c>
      <c r="L84" s="556">
        <f t="shared" si="39"/>
        <v>38.826917653003356</v>
      </c>
    </row>
    <row r="85" spans="1:16" s="513" customFormat="1">
      <c r="A85" s="530">
        <f>A84+1</f>
        <v>12</v>
      </c>
      <c r="B85" s="530">
        <f t="shared" si="42"/>
        <v>372</v>
      </c>
      <c r="C85" s="530">
        <f t="shared" si="31"/>
        <v>-0.19877426650472715</v>
      </c>
      <c r="D85" s="530">
        <f t="shared" si="32"/>
        <v>-0.14863246991659559</v>
      </c>
      <c r="E85" s="530">
        <f t="shared" si="33"/>
        <v>17.917869747661243</v>
      </c>
      <c r="F85" s="530">
        <f t="shared" si="34"/>
        <v>5.8901302523387526</v>
      </c>
      <c r="G85" s="530">
        <f t="shared" si="35"/>
        <v>-4.900400985081224</v>
      </c>
      <c r="H85" s="530">
        <f t="shared" si="36"/>
        <v>-7.3651026705118232</v>
      </c>
      <c r="I85" s="530">
        <f t="shared" si="37"/>
        <v>29.837169598692327</v>
      </c>
      <c r="J85" s="530">
        <f>SQRT(G85^2+H85^2)+I85</f>
        <v>38.683562488552319</v>
      </c>
      <c r="K85" s="556">
        <f t="shared" si="38"/>
        <v>-61.81898491496429</v>
      </c>
      <c r="L85" s="556">
        <f t="shared" si="39"/>
        <v>38.683562488552319</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359.64254770568459</v>
      </c>
      <c r="C89" s="530">
        <f>$E$19*COS(B89*PI()/180)-$E$20*SIN(B89*PI()/180)</f>
        <v>-0.2259777930705659</v>
      </c>
      <c r="D89" s="530">
        <f>$E$19*SIN(B89*PI()/180)+$E$20*COS(B89*PI()/180)</f>
        <v>-0.10264919472142242</v>
      </c>
      <c r="E89" s="530">
        <f>$E$22*COS(B89*PI()/180)^2+$E$23*SIN(B89*PI()/180)^2</f>
        <v>18.486487564593698</v>
      </c>
      <c r="F89" s="556">
        <f>$E$22*SIN(B89*PI()/180)^2+$E$23*COS(B89*PI()/180)^2</f>
        <v>5.3215124354063015</v>
      </c>
      <c r="G89" s="530">
        <f>($E$18*(C89+$E$28)^2-$E$18*($E$21+$E$26)^2+$E$24-E89)/2</f>
        <v>-4.6475351604141544</v>
      </c>
      <c r="H89" s="530">
        <f>$E$18*(C89+$E$28)*($E$21+$E$26)</f>
        <v>-8.3730639608765056</v>
      </c>
      <c r="I89" s="530">
        <f>$E$18*((C89+$E$28)^2+($E$21+$E$26)^2)/2+$E$18*(D89+$E$27)^2+($E$24+E89)/2</f>
        <v>29.584303774025258</v>
      </c>
      <c r="J89" s="583">
        <f>SQRT(G89^2+H89^2)+I89</f>
        <v>39.160721849705475</v>
      </c>
      <c r="K89" s="545">
        <f>$E$18*((C89+$E$28)^2+($E$21+$E$26)^2)+F89</f>
        <v>24.835219531950642</v>
      </c>
      <c r="L89" s="545">
        <f>$E$18*(D89^2+($E$21+$E$26)^2)+E89</f>
        <v>34.231838934439409</v>
      </c>
      <c r="N89" s="530">
        <f>IF(G89=0,0,IF((PI()/2-ATAN2(H89,G89))/2*180/PI()&gt;90,(PI()/2-ATAN2(H89,G89))/2*180/PI()-180,(PI()/2-ATAN2(H89,G89))/2*180/PI()))</f>
        <v>-59.516405053243801</v>
      </c>
      <c r="O89" s="530">
        <f>IF(G89=0,0,SQRT(G89^2+H89^2)*SIN(2*N89*PI()/180+ATAN2(H89,G89))+I89)</f>
        <v>39.160721849705475</v>
      </c>
      <c r="P89" s="584"/>
    </row>
    <row r="90" spans="1:16" s="513" customFormat="1" ht="14.25">
      <c r="A90" s="550" t="s">
        <v>1584</v>
      </c>
      <c r="B90" s="583">
        <f>N46</f>
        <v>102.38231181678086</v>
      </c>
      <c r="C90" s="530">
        <f>$E$19*COS(B90*PI()/180)-$E$20*SIN(B90*PI()/180)</f>
        <v>0.14995549242617992</v>
      </c>
      <c r="D90" s="556">
        <f>$E$19*SIN(B90*PI()/180)+$E$20*COS(B90*PI()/180)</f>
        <v>-0.19777808379398837</v>
      </c>
      <c r="E90" s="556">
        <f>$E$22*COS(B90*PI()/180)^2+$E$23*SIN(B90*PI()/180)^2</f>
        <v>5.9263971062875616</v>
      </c>
      <c r="F90" s="530">
        <f>$E$22*SIN(B90*PI()/180)^2+$E$23*COS(B90*PI()/180)^2</f>
        <v>17.881602893712433</v>
      </c>
      <c r="G90" s="556">
        <f>($E$18*(C90+$E$28)^2-$E$18*($E$21+$E$26)^2+$E$24-E90)/2</f>
        <v>0.30387208529772192</v>
      </c>
      <c r="H90" s="556">
        <f>$E$18*(C90+$E$28)*($E$21+$E$26)</f>
        <v>5.5562403380807233</v>
      </c>
      <c r="I90" s="556">
        <f>$E$18*((C90+$E$28)^2+($E$21+$E$26)^2)/2+$E$18*(D90+$E$27)^2+($E$24+E90)/2</f>
        <v>24.632896528313381</v>
      </c>
      <c r="J90" s="556">
        <f>SQRT(G90^2+H90^2)+I90</f>
        <v>30.197440080010914</v>
      </c>
      <c r="K90" s="583">
        <f>$E$18*((C90+$E$28)^2+($E$21+$E$26)^2)+F90</f>
        <v>34.738034023374382</v>
      </c>
      <c r="L90" s="545">
        <f>$E$18*(D90^2+($E$21+$E$26)^2)+E90</f>
        <v>24.329024443015655</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0.24819915418469904</v>
      </c>
      <c r="P5" s="8"/>
      <c r="Q5" s="3" t="s">
        <v>91</v>
      </c>
      <c r="R5" s="8"/>
    </row>
    <row r="6" spans="1:18" ht="14.1" customHeight="1">
      <c r="B6" s="12" t="s">
        <v>427</v>
      </c>
      <c r="C6" s="66">
        <f>VLOOKUP($C$3,Table1,12)</f>
        <v>185</v>
      </c>
      <c r="D6" s="62">
        <f>HLOOKUP($C$4,$E$4:$H$12,3)</f>
        <v>92.978999999999999</v>
      </c>
      <c r="E6" s="62">
        <f>'Payload Input'!$E$18</f>
        <v>92.978999999999999</v>
      </c>
      <c r="F6" s="62">
        <f>'Payload Input'!$E$18</f>
        <v>92.978999999999999</v>
      </c>
      <c r="G6" s="126">
        <f>IF(('Misc Data'!$B$11=3),Anal_Input_1, 0)</f>
        <v>0</v>
      </c>
      <c r="H6" s="133">
        <f>I6</f>
        <v>0</v>
      </c>
      <c r="I6" s="134">
        <f>IF(('Misc Data'!$B$11=4),Anal_Input_1, 0)</f>
        <v>0</v>
      </c>
      <c r="K6" s="45"/>
      <c r="L6" s="46"/>
      <c r="M6" s="129"/>
      <c r="N6" s="335" t="s">
        <v>840</v>
      </c>
      <c r="O6" s="46">
        <f>'Payload Input'!$E$21+'Payload Input'!$E$26</f>
        <v>0.398505</v>
      </c>
      <c r="Q6" s="29" t="s">
        <v>427</v>
      </c>
      <c r="R6" s="378">
        <f>D6</f>
        <v>92.978999999999999</v>
      </c>
    </row>
    <row r="7" spans="1:18" ht="14.1" customHeight="1">
      <c r="B7" s="12" t="s">
        <v>364</v>
      </c>
      <c r="C7" s="66">
        <f>VLOOKUP($C$3,Table1,6)</f>
        <v>1225</v>
      </c>
      <c r="D7" s="62">
        <f>IF(OR(Anal_Robot_Code=10111,Anal_Robot_Code=10214,Anal_Robot_Code=10215),"-",HLOOKUP($C$4,$E$4:$H$12,4))</f>
        <v>427.78510919307365</v>
      </c>
      <c r="E7" s="62">
        <f>'Payload Input'!$E$31</f>
        <v>427.78510919307365</v>
      </c>
      <c r="F7" s="62">
        <f>'Payload Input'!$E$31</f>
        <v>427.78510919307365</v>
      </c>
      <c r="G7" s="126">
        <f>IF(('Misc Data'!$B$11=3),Anal_Input_2, 0)</f>
        <v>0</v>
      </c>
      <c r="H7" s="133">
        <f>I7</f>
        <v>0</v>
      </c>
      <c r="I7" s="134">
        <f>IF(('Misc Data'!$B$11=4),Anal_Input_2, 0)</f>
        <v>0</v>
      </c>
      <c r="K7" s="45" t="s">
        <v>1564</v>
      </c>
      <c r="L7" s="46">
        <f>D8*SIN(RADIANS(O10))</f>
        <v>226.15762973800346</v>
      </c>
      <c r="N7" s="335" t="s">
        <v>3494</v>
      </c>
      <c r="O7" s="46">
        <f>DEGREES(IF(O6=0,0,ATAN2(O6,O5)))</f>
        <v>31.915711175033799</v>
      </c>
      <c r="Q7" s="29" t="s">
        <v>364</v>
      </c>
      <c r="R7" s="29">
        <f>IF(Axis_Type&lt;&gt;2,D7,IF(Wrist_Down_Fix=1,L7,D8))</f>
        <v>427.78510919307365</v>
      </c>
    </row>
    <row r="8" spans="1:18" ht="14.1" customHeight="1">
      <c r="A8" s="3"/>
      <c r="B8" s="12" t="s">
        <v>365</v>
      </c>
      <c r="C8" s="66">
        <f>VLOOKUP($C$3,Table1,7)</f>
        <v>1225</v>
      </c>
      <c r="D8" s="62">
        <f>HLOOKUP($C$4,$E$4:$H$12,5)</f>
        <v>427.78510919307365</v>
      </c>
      <c r="E8" s="62">
        <f>'Payload Input'!$E$32</f>
        <v>427.78510919307365</v>
      </c>
      <c r="F8" s="62">
        <f>'Payload Input'!$E$32</f>
        <v>427.78510919307365</v>
      </c>
      <c r="G8" s="126">
        <f>IF(('Misc Data'!$B$11=3),Anal_Input_3, 0)</f>
        <v>0</v>
      </c>
      <c r="H8" s="133">
        <f>I8</f>
        <v>0</v>
      </c>
      <c r="I8" s="134">
        <f>IF(('Misc Data'!$B$11=4),Anal_Input_3, 0)</f>
        <v>0</v>
      </c>
      <c r="K8" s="45" t="s">
        <v>3182</v>
      </c>
      <c r="L8" s="46">
        <f>D9*SIN(RADIANS(L5))</f>
        <v>0</v>
      </c>
      <c r="N8" s="335" t="s">
        <v>1493</v>
      </c>
      <c r="O8" s="46">
        <f>O7+L5</f>
        <v>31.915711175033799</v>
      </c>
      <c r="Q8" s="29" t="s">
        <v>365</v>
      </c>
      <c r="R8" s="29">
        <f>IF(Axis_Type&lt;&gt;2,D8,IF(Wrist_Down_Fix=1,L8,D9))</f>
        <v>427.78510919307365</v>
      </c>
    </row>
    <row r="9" spans="1:18" ht="14.1" customHeight="1">
      <c r="B9" s="12" t="s">
        <v>366</v>
      </c>
      <c r="C9" s="66">
        <f>VLOOKUP($C$3,Table1,8)</f>
        <v>706</v>
      </c>
      <c r="D9" s="62">
        <f>HLOOKUP($C$4,$E$4:$H$12,6)</f>
        <v>226.15762973800349</v>
      </c>
      <c r="E9" s="62">
        <f>'Payload Input'!$E$33</f>
        <v>226.15762973800349</v>
      </c>
      <c r="F9" s="62">
        <f>'Payload Input'!$E$33</f>
        <v>226.15762973800349</v>
      </c>
      <c r="G9" s="126">
        <f>IF(('Misc Data'!$B$11=3),Anal_Input_4, 0)</f>
        <v>0</v>
      </c>
      <c r="H9" s="133">
        <f>I9</f>
        <v>0</v>
      </c>
      <c r="I9" s="134">
        <f>IF(('Misc Data'!$B$11=4),Anal_Input_4, 0)</f>
        <v>0</v>
      </c>
      <c r="K9" s="45"/>
      <c r="L9" s="46"/>
      <c r="N9" s="335" t="s">
        <v>2815</v>
      </c>
      <c r="O9" s="46">
        <f>O7-L5</f>
        <v>31.915711175033799</v>
      </c>
      <c r="Q9" s="29" t="s">
        <v>366</v>
      </c>
      <c r="R9" s="29">
        <f>IF(Axis_Count=1,0,D9)</f>
        <v>226.15762973800349</v>
      </c>
    </row>
    <row r="10" spans="1:18" ht="14.1" customHeight="1" thickBot="1">
      <c r="B10" s="12" t="s">
        <v>1914</v>
      </c>
      <c r="C10" s="66">
        <f>VLOOKUP($C$3,Table1,9)</f>
        <v>141.1</v>
      </c>
      <c r="D10" s="62">
        <f>HLOOKUP($C$4,$E$4:$H$12,7)</f>
        <v>39.160721849705475</v>
      </c>
      <c r="E10" s="62">
        <f>'Payload Input'!$E$36</f>
        <v>39.160721849705475</v>
      </c>
      <c r="F10" s="62">
        <f>'Payload Input'!$E$36</f>
        <v>39.160721849705475</v>
      </c>
      <c r="G10" s="126">
        <f>IF(('Misc Data'!$B$11=3),Anal_Input_5, 0)</f>
        <v>0</v>
      </c>
      <c r="H10" s="133">
        <f>I10/H13</f>
        <v>0</v>
      </c>
      <c r="I10" s="134">
        <f>IF(('Misc Data'!$B$11=4),Anal_Input_5, 0)</f>
        <v>0</v>
      </c>
      <c r="K10" s="45" t="s">
        <v>1599</v>
      </c>
      <c r="L10" s="336">
        <f>D11</f>
        <v>34.738034023374382</v>
      </c>
      <c r="N10" s="381" t="s">
        <v>882</v>
      </c>
      <c r="O10" s="48">
        <f>IF(O9&lt;=90,IF(90&lt;=O8,90,O8),O9)</f>
        <v>31.915711175033799</v>
      </c>
      <c r="Q10" s="29" t="s">
        <v>1914</v>
      </c>
      <c r="R10" s="29">
        <f>IF(Axis_Type&lt;&gt;2,D10,IF(Wrist_Down_Fix=1,L10,D11))</f>
        <v>39.160721849705475</v>
      </c>
    </row>
    <row r="11" spans="1:18" ht="14.1" customHeight="1">
      <c r="B11" s="12" t="s">
        <v>1915</v>
      </c>
      <c r="C11" s="66">
        <f>VLOOKUP($C$3,Table1,10)</f>
        <v>141.1</v>
      </c>
      <c r="D11" s="62">
        <f>HLOOKUP($C$4,$E$4:$H$12,8)</f>
        <v>34.738034023374382</v>
      </c>
      <c r="E11" s="62">
        <f>'Payload Input'!$E$37</f>
        <v>34.738034023374382</v>
      </c>
      <c r="F11" s="62">
        <f>'Payload Input'!$E$37</f>
        <v>34.738034023374382</v>
      </c>
      <c r="G11" s="126">
        <f>IF(('Misc Data'!$B$11=3),Anal_Input_6, 0)</f>
        <v>0</v>
      </c>
      <c r="H11" s="133">
        <f>I11/H13</f>
        <v>0</v>
      </c>
      <c r="I11" s="134">
        <f>IF(('Misc Data'!$B$11=4),Anal_Input_6, 0)</f>
        <v>0</v>
      </c>
      <c r="K11" s="45" t="s">
        <v>1060</v>
      </c>
      <c r="L11" s="336">
        <f>D12</f>
        <v>24.9367686136111</v>
      </c>
      <c r="N11" s="129"/>
      <c r="Q11" s="29" t="s">
        <v>1915</v>
      </c>
      <c r="R11" s="29">
        <f>IF(Axis_Type&lt;&gt;2,D11,IF(Wrist_Down_Fix=1,L11,D12))</f>
        <v>34.738034023374382</v>
      </c>
    </row>
    <row r="12" spans="1:18" s="17" customFormat="1" ht="14.1" customHeight="1" thickBot="1">
      <c r="A12" s="4"/>
      <c r="B12" s="14" t="s">
        <v>554</v>
      </c>
      <c r="C12" s="67">
        <f>VLOOKUP($C$3,Table1,11)</f>
        <v>78.400000000000006</v>
      </c>
      <c r="D12" s="79">
        <f>HLOOKUP($C$4,$E$4:$H$12,9)</f>
        <v>24.9367686136111</v>
      </c>
      <c r="E12" s="63">
        <f>'Payload Input'!$E$38</f>
        <v>24.9367686136111</v>
      </c>
      <c r="F12" s="63">
        <f>'Payload Input'!$E$38</f>
        <v>24.9367686136111</v>
      </c>
      <c r="G12" s="127">
        <f>IF(('Misc Data'!$B$11=3),Anal_Input_7, 0)</f>
        <v>0</v>
      </c>
      <c r="H12" s="135">
        <f>I12/H13</f>
        <v>0</v>
      </c>
      <c r="I12" s="136">
        <f>IF(('Misc Data'!$B$11=4),Anal_Input_7, 0)</f>
        <v>0</v>
      </c>
      <c r="K12" s="47"/>
      <c r="L12" s="337"/>
      <c r="M12" s="4"/>
      <c r="N12" s="129"/>
      <c r="O12" s="4"/>
      <c r="P12" s="4"/>
      <c r="Q12" s="29" t="s">
        <v>554</v>
      </c>
      <c r="R12" s="29">
        <f>IF(Axis_Count=1,0,D12)</f>
        <v>24.9367686136111</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49.800000000000004</v>
      </c>
      <c r="I20" s="129"/>
      <c r="K20" s="3"/>
      <c r="L20" s="129"/>
      <c r="O20" s="129"/>
      <c r="Q20" s="29" t="s">
        <v>310</v>
      </c>
      <c r="R20" s="331">
        <f>D20</f>
        <v>49.800000000000004</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34</v>
      </c>
      <c r="E22" s="292">
        <f>TRUNC(D8/$C$7*100,0)</f>
        <v>34</v>
      </c>
      <c r="F22" s="292">
        <f>TRUNC(L7/$C$7*100,0)</f>
        <v>18</v>
      </c>
      <c r="I22" s="383" t="s">
        <v>493</v>
      </c>
      <c r="L22" s="129"/>
      <c r="N22" s="288"/>
      <c r="O22" s="129"/>
      <c r="Q22" s="49" t="s">
        <v>490</v>
      </c>
      <c r="R22" s="49">
        <f>IF(OR(Anal_Robot_Code=10111,Anal_Robot_Code=10214,Anal_Robot_Code=10215),I22,IF(Axis_Type&lt;&gt;2,D22,IF(Wrist_Down_Fix=1,F22,E22)))</f>
        <v>34</v>
      </c>
    </row>
    <row r="23" spans="1:18" s="3" customFormat="1" ht="14.1" customHeight="1">
      <c r="A23" s="4"/>
      <c r="B23" s="12" t="s">
        <v>491</v>
      </c>
      <c r="C23" s="59"/>
      <c r="D23" s="291">
        <f>IF(Wrist_Down_Fix=1,IF(C8&lt;D8,101,0),TRUNC(D8/$C$8*100,0))</f>
        <v>34</v>
      </c>
      <c r="E23" s="292">
        <f>TRUNC(D9/$C$8*100,0)</f>
        <v>18</v>
      </c>
      <c r="F23" s="292">
        <v>0</v>
      </c>
      <c r="G23" s="383" t="str">
        <f>IF(D23=0,"-","∞")</f>
        <v>∞</v>
      </c>
      <c r="H23" s="4"/>
      <c r="I23" s="4"/>
      <c r="J23" s="4"/>
      <c r="K23" s="4"/>
      <c r="L23" s="129"/>
      <c r="M23" s="4"/>
      <c r="N23" s="4"/>
      <c r="O23" s="129"/>
      <c r="P23" s="4"/>
      <c r="Q23" s="50" t="s">
        <v>491</v>
      </c>
      <c r="R23" s="49">
        <f>IF(Axis_Type&lt;&gt;2,IF(Wrist_Down_Fix=1,G23,D23),IF(Wrist_Down_Fix=1,F23,E23))</f>
        <v>34</v>
      </c>
    </row>
    <row r="24" spans="1:18" ht="14.1" customHeight="1" thickBot="1">
      <c r="B24" s="14" t="s">
        <v>492</v>
      </c>
      <c r="C24" s="60"/>
      <c r="D24" s="275">
        <f>TRUNC(D9/$C$9*100,0)</f>
        <v>32</v>
      </c>
      <c r="L24" s="129"/>
      <c r="N24" s="353"/>
      <c r="O24" s="129"/>
      <c r="Q24" s="42" t="s">
        <v>492</v>
      </c>
      <c r="R24" s="49">
        <f>IF(Axis_Count=1,0,D24)</f>
        <v>32</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27.8</v>
      </c>
      <c r="E26" s="292">
        <f>ROUNDUP(D11/$C10*100,1)</f>
        <v>24.700000000000003</v>
      </c>
      <c r="F26" s="292">
        <f>ROUNDUP(L10/$C$10*100,1)</f>
        <v>24.700000000000003</v>
      </c>
      <c r="L26" s="129"/>
      <c r="O26" s="129"/>
      <c r="Q26" s="49" t="s">
        <v>490</v>
      </c>
      <c r="R26" s="49">
        <f>IF(Axis_Type&lt;&gt;2,D26,IF(Wrist_Down_Fix=1,F26,E26))</f>
        <v>27.8</v>
      </c>
    </row>
    <row r="27" spans="1:18" ht="14.1" customHeight="1">
      <c r="B27" s="12" t="s">
        <v>491</v>
      </c>
      <c r="C27" s="59">
        <f>ROUND(C11/$G74*100,)</f>
        <v>100</v>
      </c>
      <c r="D27" s="291">
        <f>ROUNDUP(D11/$C11*100,1)</f>
        <v>24.700000000000003</v>
      </c>
      <c r="E27" s="292">
        <f>ROUNDUP(D12/$C11*100,1)</f>
        <v>17.700000000000003</v>
      </c>
      <c r="F27" s="292">
        <f>ROUNDUP(L11/$C11*100,1)</f>
        <v>17.700000000000003</v>
      </c>
      <c r="L27" s="129"/>
      <c r="O27" s="129"/>
      <c r="Q27" s="50" t="s">
        <v>491</v>
      </c>
      <c r="R27" s="49">
        <f>IF(Axis_Type&lt;&gt;2,D27,IF(Wrist_Down_Fix=1,F27,E27))</f>
        <v>24.700000000000003</v>
      </c>
    </row>
    <row r="28" spans="1:18" s="17" customFormat="1" ht="14.1" customHeight="1" thickBot="1">
      <c r="A28" s="4"/>
      <c r="B28" s="14" t="s">
        <v>492</v>
      </c>
      <c r="C28" s="60">
        <f>ROUND(C12/$G75*100,)</f>
        <v>100</v>
      </c>
      <c r="D28" s="275">
        <f>ROUNDUP(D12/$C12*100,1)</f>
        <v>31.900000000000002</v>
      </c>
      <c r="E28" s="4"/>
      <c r="F28" s="4"/>
      <c r="G28" s="4"/>
      <c r="H28" s="4"/>
      <c r="I28" s="4"/>
      <c r="J28" s="4"/>
      <c r="K28" s="4"/>
      <c r="L28" s="129"/>
      <c r="M28" s="4"/>
      <c r="N28" s="4"/>
      <c r="O28" s="4"/>
      <c r="P28" s="4"/>
      <c r="Q28" s="42" t="s">
        <v>492</v>
      </c>
      <c r="R28" s="42">
        <f>IF(Axis_Count=1,0,D28)</f>
        <v>31.900000000000002</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591.79021229964019</v>
      </c>
      <c r="E65" s="311">
        <f>D8+(D11*$D$73)</f>
        <v>573.26799568296553</v>
      </c>
      <c r="F65" s="40"/>
      <c r="G65" s="40"/>
      <c r="K65" s="129"/>
      <c r="L65" s="40"/>
      <c r="M65" s="40"/>
    </row>
    <row r="66" spans="1:18" s="3" customFormat="1" ht="14.1" customHeight="1">
      <c r="A66" s="4"/>
      <c r="B66" s="29" t="s">
        <v>491</v>
      </c>
      <c r="C66" s="33">
        <f xml:space="preserve"> C8+(C11*$D$74)</f>
        <v>1717.4390000000001</v>
      </c>
      <c r="D66" s="33">
        <f xml:space="preserve"> D8+(D11*$D$74)</f>
        <v>549.02084793465019</v>
      </c>
      <c r="E66" s="311">
        <f xml:space="preserve"> D9+(D12*$D$74)</f>
        <v>313.18695219950621</v>
      </c>
      <c r="F66" s="40"/>
      <c r="G66" s="40"/>
      <c r="H66" s="4"/>
      <c r="I66" s="4"/>
      <c r="J66" s="4"/>
      <c r="K66" s="129"/>
      <c r="L66" s="40"/>
      <c r="M66" s="40"/>
      <c r="N66" s="4"/>
      <c r="O66" s="4"/>
      <c r="P66" s="4"/>
      <c r="Q66" s="4"/>
      <c r="R66" s="4"/>
    </row>
    <row r="67" spans="1:18" ht="14.1" customHeight="1">
      <c r="B67" s="29" t="s">
        <v>492</v>
      </c>
      <c r="C67" s="33">
        <f>C9+(C12*$D$75)</f>
        <v>922.38400000000001</v>
      </c>
      <c r="D67" s="33">
        <f>D9+(D12*$D$75)</f>
        <v>294.98311111157011</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Used</v>
      </c>
      <c r="AQ2" s="2" t="str">
        <f t="shared" ref="AQ2:AQ33" ca="1" si="1">IF(OFFSET(Summ_Data_1,$AO2-1,0)="","",OFFSET(Summ_Data_1,$AO2-1,0))</f>
        <v/>
      </c>
      <c r="AR2" s="2" t="str">
        <f t="shared" ref="AR2:AR33" ca="1" si="2">IF(OFFSET(Summ_Data_1,$AO2-1,1)="","",OFFSET(Summ_Data_1,$AO2-1,1))</f>
        <v>LTVL</v>
      </c>
      <c r="AS2" s="2" t="str">
        <f t="shared" ref="AS2:AS33" ca="1" si="3">IF(OFFSET(Summ_Data_1,$AO2-1,3)="","",OFFSET(Summ_Data_1,$AO2-1,3))</f>
        <v>R-2000iB/185L</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92.978999999999999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-22.533000000000001</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-10.406000000000001</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16.350999999999999</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188.643</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54.295999999999999</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196.01</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49.800000000000004</v>
      </c>
      <c r="D9" s="1">
        <v>0</v>
      </c>
      <c r="E9" s="1">
        <f>IF(H9&gt;$F$8, $F$8-$E$8, IF(H9&gt;$E$8, H9-$E$8, 0))</f>
        <v>0</v>
      </c>
      <c r="F9" s="1">
        <f>IF(H9&gt;$F$8, H9-$F$8, 0)</f>
        <v>0</v>
      </c>
      <c r="H9" s="1">
        <f>'Wrist Load Analysis'!R20</f>
        <v>49.800000000000004</v>
      </c>
    </row>
    <row r="11" spans="1:8">
      <c r="A11" s="1" t="s">
        <v>348</v>
      </c>
      <c r="B11" s="1" t="s">
        <v>2344</v>
      </c>
      <c r="C11" s="1">
        <f>IF(H11&gt;$E$8, $E$8, H11)</f>
        <v>34</v>
      </c>
      <c r="D11" s="1">
        <v>0</v>
      </c>
      <c r="E11" s="1">
        <f>IF(H11&gt;$F$8, $F$8-$E$8, IF(H11&gt;$E$8, H11-$E$8, 0))</f>
        <v>0</v>
      </c>
      <c r="F11" s="1">
        <f>IF(H11&gt;$F$8, H11-$F$8, 0)</f>
        <v>0</v>
      </c>
      <c r="H11" s="1">
        <f>IF(Anal_Robot_Code=10111,0,'Wrist Load Analysis'!R22)</f>
        <v>34</v>
      </c>
    </row>
    <row r="12" spans="1:8">
      <c r="B12" s="1" t="s">
        <v>1618</v>
      </c>
      <c r="C12" s="1">
        <f>IF(H12&gt;$E$8, $E$8, H12)</f>
        <v>34</v>
      </c>
      <c r="D12" s="1">
        <v>0</v>
      </c>
      <c r="E12" s="1">
        <f>IF(H12&gt;$F$8, $F$8-$E$8, IF(H12&gt;$E$8, H12-$E$8, 0))</f>
        <v>0</v>
      </c>
      <c r="F12" s="1">
        <f>IF(H12&gt;$F$8, H12-$F$8, 0)</f>
        <v>0</v>
      </c>
      <c r="H12" s="1">
        <f>'Wrist Load Analysis'!R23</f>
        <v>34</v>
      </c>
    </row>
    <row r="13" spans="1:8">
      <c r="B13" s="1" t="str">
        <f>IF(Axis_Count=1,"","J6")</f>
        <v>J6</v>
      </c>
      <c r="C13" s="1">
        <f>IF(H13&gt;$E$8, $E$8, H13)</f>
        <v>32</v>
      </c>
      <c r="D13" s="1">
        <v>0</v>
      </c>
      <c r="E13" s="1">
        <f>IF(H13&gt;$F$8, $F$8-$E$8, IF(H13&gt;$E$8, H13-$E$8, 0))</f>
        <v>0</v>
      </c>
      <c r="F13" s="1">
        <f>IF(H13&gt;$F$8, H13-$F$8, 0)</f>
        <v>0</v>
      </c>
      <c r="H13" s="1">
        <f>'Wrist Load Analysis'!R24</f>
        <v>32</v>
      </c>
    </row>
    <row r="15" spans="1:8">
      <c r="A15" s="1" t="s">
        <v>488</v>
      </c>
      <c r="B15" s="1" t="s">
        <v>2344</v>
      </c>
      <c r="C15" s="1">
        <f>IF(H15&gt;E8, E8, H15)</f>
        <v>27.8</v>
      </c>
      <c r="D15" s="1">
        <v>0</v>
      </c>
      <c r="E15" s="1">
        <f>IF(H15&gt;$F$8, $F$8-$E$8, IF(H15&gt;$E$8, H15-$E$8, 0))</f>
        <v>0</v>
      </c>
      <c r="F15" s="1">
        <f>IF(H15&gt;$F$8, H15-$F$8, 0)</f>
        <v>0</v>
      </c>
      <c r="H15" s="1">
        <f>'Wrist Load Analysis'!R26</f>
        <v>27.8</v>
      </c>
    </row>
    <row r="16" spans="1:8">
      <c r="B16" s="1" t="s">
        <v>1618</v>
      </c>
      <c r="C16" s="1">
        <f>IF(H16&gt;E8, E8, H16)</f>
        <v>24.700000000000003</v>
      </c>
      <c r="D16" s="1">
        <v>0</v>
      </c>
      <c r="E16" s="1">
        <f>IF(H16&gt;$F$8, $F$8-$E$8, IF(H16&gt;$E$8, H16-$E$8, 0))</f>
        <v>0</v>
      </c>
      <c r="F16" s="1">
        <f>IF(H16&gt;$F$8, H16-$F$8, 0)</f>
        <v>0</v>
      </c>
      <c r="H16" s="1">
        <f>'Wrist Load Analysis'!R27</f>
        <v>24.700000000000003</v>
      </c>
    </row>
    <row r="17" spans="1:16">
      <c r="B17" s="1" t="str">
        <f>IF(Axis_Count=1,"","J6")</f>
        <v>J6</v>
      </c>
      <c r="C17" s="1">
        <f>IF(H17&gt;E8, E8, H17)</f>
        <v>31.900000000000002</v>
      </c>
      <c r="D17" s="1">
        <v>0</v>
      </c>
      <c r="E17" s="1">
        <f>IF(H17&gt;$F$8, $F$8-$E$8, IF(H17&gt;$E$8, H17-$E$8, 0))</f>
        <v>0</v>
      </c>
      <c r="F17" s="1">
        <f>IF(H17&gt;$F$8, H17-$F$8, 0)</f>
        <v>0</v>
      </c>
      <c r="H17" s="1">
        <f>'Wrist Load Analysis'!R28</f>
        <v>31.900000000000002</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427.78510919307365</v>
      </c>
      <c r="G25" s="172">
        <f>'Wrist Load Analysis'!R10</f>
        <v>39.160721849705475</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427.78510919307365</v>
      </c>
      <c r="G29" s="172">
        <f>'Wrist Load Analysis'!R11</f>
        <v>34.738034023374382</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226.15762973800349</v>
      </c>
      <c r="G33" s="172">
        <f>'Wrist Load Analysis'!R12</f>
        <v>24.9367686136111</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h7dQMSTQ2mWePr0M1ZuQ8hu1gtrFoOkuIex1qLTlUfrKVTO/Ccj3PNR1L0vwpFcAPel17le375cV2BNjB7eWhQ==" saltValue="4VtJw++/gi9FFx3gyH4uv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2024-07-17T14:36:56Z</dcterms:modified>
</cp:coreProperties>
</file>