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B_LONG_DIANT_GRIPPER_ST_1500_LH_RH\OS_0569_DMS_ZB_DETALHAMENTO\66-30D_351065______________________A03_1500R01_GREIFER\PAYLOAD\"/>
    </mc:Choice>
  </mc:AlternateContent>
  <xr:revisionPtr revIDLastSave="0" documentId="13_ncr:1_{4BCA8424-6BEB-42C9-98FC-E8A5728E57C8}" xr6:coauthVersionLast="47" xr6:coauthVersionMax="47" xr10:uidLastSave="{00000000-0000-0000-0000-000000000000}"/>
  <workbookProtection workbookAlgorithmName="SHA-512" workbookHashValue="6e/ui3EOU31moCsspcIXwazfRt4FuDz+U5JTP2SOzeyCTWJwopYKXKZRVaaBDuZdNkzY2OrJ94a3CN0zjgFIHw==" workbookSaltValue="N3nMcyHyJgidbQ9sAUazJA=="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s="1"/>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s="1"/>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L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c r="J321" i="38"/>
  <c r="M319" i="38"/>
  <c r="N319" i="38" s="1"/>
  <c r="K319" i="38"/>
  <c r="L319" i="38" s="1"/>
  <c r="J319" i="38"/>
  <c r="M317" i="38"/>
  <c r="N317" i="38" s="1"/>
  <c r="K317" i="38"/>
  <c r="L317" i="38" s="1"/>
  <c r="J317" i="38"/>
  <c r="K315" i="38"/>
  <c r="L315" i="38"/>
  <c r="J315" i="38"/>
  <c r="M314" i="38"/>
  <c r="N314" i="38" s="1"/>
  <c r="K314" i="38"/>
  <c r="L314" i="38"/>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c r="J231" i="38"/>
  <c r="K229" i="38"/>
  <c r="L229" i="38" s="1"/>
  <c r="J229" i="38"/>
  <c r="K228" i="38"/>
  <c r="L228" i="38" s="1"/>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s="1"/>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s="1"/>
  <c r="H57" i="38"/>
  <c r="J57" i="38"/>
  <c r="K57" i="38"/>
  <c r="L57" i="38" s="1"/>
  <c r="M57" i="38"/>
  <c r="N57" i="38" s="1"/>
  <c r="H58" i="38"/>
  <c r="J58" i="38"/>
  <c r="K58" i="38"/>
  <c r="L58" i="38" s="1"/>
  <c r="M58" i="38"/>
  <c r="N58" i="38" s="1"/>
  <c r="H59" i="38"/>
  <c r="J59" i="38"/>
  <c r="K59" i="38"/>
  <c r="L59" i="38" s="1"/>
  <c r="M59" i="38"/>
  <c r="N59" i="38" s="1"/>
  <c r="H60" i="38"/>
  <c r="J60" i="38"/>
  <c r="K60" i="38"/>
  <c r="L60" i="38" s="1"/>
  <c r="H61" i="38"/>
  <c r="J61" i="38"/>
  <c r="K61" i="38"/>
  <c r="L61" i="38" s="1"/>
  <c r="H62" i="38"/>
  <c r="J62" i="38"/>
  <c r="K62" i="38"/>
  <c r="L62" i="38" s="1"/>
  <c r="H63" i="38"/>
  <c r="J63" i="38"/>
  <c r="K63" i="38"/>
  <c r="L63" i="38" s="1"/>
  <c r="M63" i="38"/>
  <c r="N63" i="38"/>
  <c r="H64" i="38"/>
  <c r="J64" i="38"/>
  <c r="K64" i="38"/>
  <c r="L64" i="38" s="1"/>
  <c r="M64" i="38"/>
  <c r="N64" i="38" s="1"/>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s="1"/>
  <c r="M73" i="38"/>
  <c r="N73" i="38" s="1"/>
  <c r="H74" i="38"/>
  <c r="J74" i="38"/>
  <c r="K74" i="38"/>
  <c r="L74" i="38" s="1"/>
  <c r="M74" i="38"/>
  <c r="N74" i="38" s="1"/>
  <c r="H75" i="38"/>
  <c r="J75" i="38"/>
  <c r="K75" i="38"/>
  <c r="L75" i="38"/>
  <c r="M75" i="38"/>
  <c r="N75" i="38"/>
  <c r="H76" i="38"/>
  <c r="J76" i="38"/>
  <c r="K76" i="38"/>
  <c r="L76" i="38" s="1"/>
  <c r="H77" i="38"/>
  <c r="J77" i="38"/>
  <c r="K77" i="38"/>
  <c r="L77" i="38" s="1"/>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c r="H84" i="38"/>
  <c r="J84" i="38"/>
  <c r="K84" i="38"/>
  <c r="L84" i="38"/>
  <c r="H85" i="38"/>
  <c r="J85" i="38"/>
  <c r="K85" i="38"/>
  <c r="L85" i="38"/>
  <c r="J86" i="38"/>
  <c r="K86" i="38"/>
  <c r="L86" i="38" s="1"/>
  <c r="H88" i="38"/>
  <c r="J88" i="38"/>
  <c r="K88" i="38"/>
  <c r="L88" i="38" s="1"/>
  <c r="M88" i="38"/>
  <c r="N88" i="38" s="1"/>
  <c r="H89" i="38"/>
  <c r="J89" i="38"/>
  <c r="K89" i="38"/>
  <c r="L89" i="38" s="1"/>
  <c r="M89" i="38"/>
  <c r="N89" i="38" s="1"/>
  <c r="H90" i="38"/>
  <c r="J90" i="38"/>
  <c r="K90" i="38"/>
  <c r="L90" i="38" s="1"/>
  <c r="H91" i="38"/>
  <c r="J91" i="38"/>
  <c r="K91" i="38"/>
  <c r="L91" i="38" s="1"/>
  <c r="H92" i="38"/>
  <c r="J92" i="38"/>
  <c r="K92" i="38"/>
  <c r="L92" i="38"/>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c r="J117" i="38"/>
  <c r="K117" i="38"/>
  <c r="L117" i="38" s="1"/>
  <c r="J118" i="38"/>
  <c r="K118" i="38"/>
  <c r="L118" i="38" s="1"/>
  <c r="M118" i="38"/>
  <c r="N118" i="38" s="1"/>
  <c r="J119" i="38"/>
  <c r="K119" i="38"/>
  <c r="L119" i="38" s="1"/>
  <c r="M119" i="38"/>
  <c r="N119" i="38" s="1"/>
  <c r="J120" i="38"/>
  <c r="K120" i="38"/>
  <c r="L120" i="38" s="1"/>
  <c r="M120" i="38"/>
  <c r="N120" i="38" s="1"/>
  <c r="J121" i="38"/>
  <c r="K121" i="38"/>
  <c r="L121" i="38" s="1"/>
  <c r="J122" i="38"/>
  <c r="K122" i="38"/>
  <c r="L122" i="38"/>
  <c r="M122" i="38"/>
  <c r="N122" i="38"/>
  <c r="J123" i="38"/>
  <c r="K123" i="38"/>
  <c r="L123" i="38" s="1"/>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s="1"/>
  <c r="H128" i="38"/>
  <c r="J128" i="38"/>
  <c r="K128" i="38"/>
  <c r="L128" i="38" s="1"/>
  <c r="M128" i="38"/>
  <c r="N128" i="38" s="1"/>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s="1"/>
  <c r="M134" i="38"/>
  <c r="N134" i="38" s="1"/>
  <c r="H135" i="38"/>
  <c r="J135" i="38"/>
  <c r="K135" i="38"/>
  <c r="L135" i="38" s="1"/>
  <c r="H136" i="38"/>
  <c r="J136" i="38"/>
  <c r="K136" i="38"/>
  <c r="L136" i="38" s="1"/>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s="1"/>
  <c r="H144" i="38"/>
  <c r="J144" i="38"/>
  <c r="K144" i="38"/>
  <c r="L144" i="38" s="1"/>
  <c r="J145" i="38"/>
  <c r="K145" i="38"/>
  <c r="L145" i="38"/>
  <c r="M145" i="38"/>
  <c r="N145" i="38" s="1"/>
  <c r="J146" i="38"/>
  <c r="K146" i="38"/>
  <c r="L146" i="38"/>
  <c r="M146" i="38"/>
  <c r="N146" i="38" s="1"/>
  <c r="J147" i="38"/>
  <c r="K147" i="38"/>
  <c r="L147" i="38" s="1"/>
  <c r="M147" i="38"/>
  <c r="N147" i="38" s="1"/>
  <c r="J148" i="38"/>
  <c r="K148" i="38"/>
  <c r="L148" i="38" s="1"/>
  <c r="M148" i="38"/>
  <c r="N148" i="38" s="1"/>
  <c r="J149" i="38"/>
  <c r="K149" i="38"/>
  <c r="L149" i="38" s="1"/>
  <c r="J150" i="38"/>
  <c r="K150" i="38"/>
  <c r="L150" i="38"/>
  <c r="M150" i="38"/>
  <c r="N150" i="38"/>
  <c r="J151" i="38"/>
  <c r="K151" i="38"/>
  <c r="L151" i="38" s="1"/>
  <c r="M151" i="38"/>
  <c r="N151" i="38"/>
  <c r="J152" i="38"/>
  <c r="K152" i="38"/>
  <c r="L152" i="38" s="1"/>
  <c r="M152" i="38"/>
  <c r="N152" i="38" s="1"/>
  <c r="J153" i="38"/>
  <c r="K153" i="38"/>
  <c r="L153" i="38" s="1"/>
  <c r="J154" i="38"/>
  <c r="K154" i="38"/>
  <c r="L154" i="38" s="1"/>
  <c r="M154" i="38"/>
  <c r="N154" i="38"/>
  <c r="J155" i="38"/>
  <c r="K155" i="38"/>
  <c r="L155" i="38" s="1"/>
  <c r="M155" i="38"/>
  <c r="N155" i="38" s="1"/>
  <c r="J156" i="38"/>
  <c r="K156" i="38"/>
  <c r="L156" i="38" s="1"/>
  <c r="M156" i="38"/>
  <c r="N156" i="38" s="1"/>
  <c r="J157" i="38"/>
  <c r="K157" i="38"/>
  <c r="L157" i="38" s="1"/>
  <c r="M157" i="38"/>
  <c r="N157" i="38"/>
  <c r="J158" i="38"/>
  <c r="K158" i="38"/>
  <c r="L158" i="38" s="1"/>
  <c r="M158" i="38"/>
  <c r="N158" i="38" s="1"/>
  <c r="J159" i="38"/>
  <c r="K159" i="38"/>
  <c r="L159" i="38"/>
  <c r="M159" i="38"/>
  <c r="N159" i="38" s="1"/>
  <c r="J160" i="38"/>
  <c r="K160" i="38"/>
  <c r="L160" i="38"/>
  <c r="M160" i="38"/>
  <c r="N160" i="38" s="1"/>
  <c r="J161" i="38"/>
  <c r="K161" i="38"/>
  <c r="L161" i="38" s="1"/>
  <c r="M161" i="38"/>
  <c r="N161" i="38" s="1"/>
  <c r="J162" i="38"/>
  <c r="K162" i="38"/>
  <c r="L162" i="38"/>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s="1"/>
  <c r="M170" i="38"/>
  <c r="N170" i="38" s="1"/>
  <c r="J171" i="38"/>
  <c r="K171" i="38"/>
  <c r="L171" i="38" s="1"/>
  <c r="J172" i="38"/>
  <c r="K172" i="38"/>
  <c r="L172" i="38"/>
  <c r="J173" i="38"/>
  <c r="K173" i="38"/>
  <c r="L173" i="38" s="1"/>
  <c r="M173" i="38"/>
  <c r="N173" i="38"/>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s="1"/>
  <c r="J181" i="38"/>
  <c r="K181" i="38"/>
  <c r="L181" i="38" s="1"/>
  <c r="J182" i="38"/>
  <c r="K182" i="38"/>
  <c r="L182" i="38" s="1"/>
  <c r="J183" i="38"/>
  <c r="K183" i="38"/>
  <c r="L183" i="38" s="1"/>
  <c r="J184" i="38"/>
  <c r="K184" i="38"/>
  <c r="L184" i="38" s="1"/>
  <c r="J185" i="38"/>
  <c r="K185" i="38"/>
  <c r="L185" i="38" s="1"/>
  <c r="J187" i="38"/>
  <c r="K187" i="38"/>
  <c r="L187" i="38"/>
  <c r="M187" i="38"/>
  <c r="N187" i="38" s="1"/>
  <c r="J188" i="38"/>
  <c r="K188" i="38"/>
  <c r="L188" i="38" s="1"/>
  <c r="M188" i="38"/>
  <c r="N188" i="38" s="1"/>
  <c r="J189" i="38"/>
  <c r="K189" i="38"/>
  <c r="L189" i="38" s="1"/>
  <c r="J190" i="38"/>
  <c r="K190" i="38"/>
  <c r="L190" i="38"/>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s="1"/>
  <c r="K216" i="38"/>
  <c r="L216" i="38" s="1"/>
  <c r="M208" i="38"/>
  <c r="N208" i="38" s="1"/>
  <c r="J209" i="38"/>
  <c r="K209" i="38"/>
  <c r="L209" i="38" s="1"/>
  <c r="M209" i="38"/>
  <c r="N209" i="38"/>
  <c r="J210" i="38"/>
  <c r="K210" i="38"/>
  <c r="L210" i="38" s="1"/>
  <c r="J211" i="38"/>
  <c r="K211" i="38"/>
  <c r="L211" i="38" s="1"/>
  <c r="J212" i="38"/>
  <c r="K212" i="38"/>
  <c r="L212" i="38" s="1"/>
  <c r="J213" i="38"/>
  <c r="K213" i="38"/>
  <c r="L213" i="38"/>
  <c r="J214" i="38"/>
  <c r="K214" i="38"/>
  <c r="L214" i="38" s="1"/>
  <c r="J215" i="38"/>
  <c r="K215" i="38"/>
  <c r="L215" i="38" s="1"/>
  <c r="J217" i="38"/>
  <c r="K217" i="38"/>
  <c r="L217" i="38"/>
  <c r="J218" i="38"/>
  <c r="K218" i="38"/>
  <c r="L218" i="38" s="1"/>
  <c r="J219" i="38"/>
  <c r="K219" i="38"/>
  <c r="L219" i="38" s="1"/>
  <c r="J220" i="38"/>
  <c r="K220" i="38"/>
  <c r="L220" i="38" s="1"/>
  <c r="J221" i="38"/>
  <c r="K221" i="38"/>
  <c r="L221" i="38"/>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F14" i="62"/>
  <c r="AD11" i="62"/>
  <c r="BW9" i="62"/>
  <c r="AC21" i="62"/>
  <c r="BW11" i="62"/>
  <c r="AF11" i="62"/>
  <c r="AD7" i="62"/>
  <c r="AD8" i="62"/>
  <c r="AE8" i="62"/>
  <c r="AD14" i="62"/>
  <c r="AZ11" i="62"/>
  <c r="BE5" i="62"/>
  <c r="Y11" i="62"/>
  <c r="AP13" i="62"/>
  <c r="BC13" i="62"/>
  <c r="AD13" i="62"/>
  <c r="AF7" i="62"/>
  <c r="AD6" i="62"/>
  <c r="AI11" i="62"/>
  <c r="AS8" i="62"/>
  <c r="AN11" i="62"/>
  <c r="AA8" i="62"/>
  <c r="BR12" i="62"/>
  <c r="AP8" i="62"/>
  <c r="AN14" i="62"/>
  <c r="BJ12" i="62"/>
  <c r="AF12" i="62"/>
  <c r="AF6" i="62"/>
  <c r="BR7" i="62"/>
  <c r="AP6" i="62"/>
  <c r="BC8" i="62"/>
  <c r="AT11" i="62"/>
  <c r="AJ12" i="62"/>
  <c r="BN12" i="62"/>
  <c r="AY14" i="62"/>
  <c r="AT14" i="62"/>
  <c r="BD7" i="62"/>
  <c r="BM7" i="62"/>
  <c r="Y13" i="62"/>
  <c r="BD13" i="62"/>
  <c r="AY13" i="62"/>
  <c r="AO7" i="62"/>
  <c r="AT12" i="62"/>
  <c r="BN7" i="62"/>
  <c r="Z7" i="62"/>
  <c r="AZ6" i="62"/>
  <c r="AI7" i="62"/>
  <c r="AP7" i="62"/>
  <c r="AN7" i="62"/>
  <c r="BS6" i="62"/>
  <c r="Z14" i="62"/>
  <c r="AN13" i="62"/>
  <c r="BT13" i="62"/>
  <c r="AN5" i="62"/>
  <c r="Y7" i="62"/>
  <c r="AI8" i="62"/>
  <c r="BR10" i="62"/>
  <c r="AX14" i="62"/>
  <c r="BC6" i="62"/>
  <c r="Z8" i="62"/>
  <c r="AP11" i="62"/>
  <c r="BE6" i="62"/>
  <c r="Y14" i="62"/>
  <c r="P31" i="60"/>
  <c r="O25" i="60"/>
  <c r="AD10" i="62"/>
  <c r="AE10" i="62"/>
  <c r="BD10" i="62"/>
  <c r="AF10" i="62"/>
  <c r="AN10" i="62"/>
  <c r="N298" i="38"/>
  <c r="O29" i="60"/>
  <c r="AA21" i="62"/>
  <c r="Z21"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BT11" i="62"/>
  <c r="AS13" i="62"/>
  <c r="AK7" i="62"/>
  <c r="BM9" i="62"/>
  <c r="BN14" i="62"/>
  <c r="BC14" i="62"/>
  <c r="BH13" i="62"/>
  <c r="BC11" i="62"/>
  <c r="BJ11" i="62"/>
  <c r="B25" i="1"/>
  <c r="G1" i="62"/>
  <c r="K7" i="37" l="1"/>
  <c r="B39" i="40"/>
  <c r="B41" i="40" s="1"/>
  <c r="F10" i="34" s="1"/>
  <c r="BN11" i="62"/>
  <c r="AO11" i="62"/>
  <c r="P34" i="60"/>
  <c r="T32" i="62"/>
  <c r="R18" i="62"/>
  <c r="BO9" i="62"/>
  <c r="P18" i="62"/>
  <c r="E18" i="62" s="1"/>
  <c r="AJ10" i="62"/>
  <c r="J9" i="37"/>
  <c r="K9" i="37"/>
  <c r="J12" i="37"/>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F18" i="62" s="1"/>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E48" i="37"/>
  <c r="F47" i="37"/>
  <c r="E50" i="37"/>
  <c r="F51" i="37"/>
  <c r="E53" i="37"/>
  <c r="U13" i="62" l="1"/>
  <c r="U9" i="62"/>
  <c r="U11" i="62"/>
  <c r="U8" i="62"/>
  <c r="F52" i="37"/>
  <c r="T6" i="62"/>
  <c r="AD17" i="62"/>
  <c r="O30" i="60"/>
  <c r="D21" i="38"/>
  <c r="C27" i="38"/>
  <c r="C28" i="38" s="1"/>
  <c r="C30" i="38" s="1"/>
  <c r="E27" i="38"/>
  <c r="E28" i="38" s="1"/>
  <c r="E29" i="38" s="1"/>
  <c r="K25" i="60"/>
  <c r="C51" i="40"/>
  <c r="B15" i="30"/>
  <c r="K51" i="37"/>
  <c r="G46" i="37"/>
  <c r="M6" i="38"/>
  <c r="N6" i="38" s="1"/>
  <c r="M8" i="38" s="1"/>
  <c r="F10" i="38" s="1"/>
  <c r="G51" i="37"/>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G10" i="38" l="1"/>
  <c r="C10" i="38" s="1"/>
  <c r="H20" i="30" s="1"/>
  <c r="J46" i="37"/>
  <c r="E30" i="38"/>
  <c r="C29" i="38"/>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J52" i="37"/>
  <c r="AH8" i="62"/>
  <c r="AM10" i="62"/>
  <c r="AM12" i="62"/>
  <c r="AR7" i="62"/>
  <c r="BV9" i="62"/>
  <c r="BG5" i="62"/>
  <c r="BG10" i="62"/>
  <c r="DA10" i="62" s="1"/>
  <c r="BV11" i="62"/>
  <c r="CZ11" i="62" s="1"/>
  <c r="AR9" i="62"/>
  <c r="AH13" i="62"/>
  <c r="BV8" i="62"/>
  <c r="BL9" i="62"/>
  <c r="BL5" i="62"/>
  <c r="BQ13" i="62"/>
  <c r="AR8" i="62"/>
  <c r="DC8" i="62" s="1"/>
  <c r="AM7" i="62"/>
  <c r="CP7" i="62" s="1"/>
  <c r="BB13" i="62"/>
  <c r="BG12" i="62"/>
  <c r="BQ6" i="62"/>
  <c r="CU6" i="62" s="1"/>
  <c r="BL8" i="62"/>
  <c r="BQ14" i="62"/>
  <c r="BQ7" i="62"/>
  <c r="BB10" i="62"/>
  <c r="CY10" i="62" s="1"/>
  <c r="AM5" i="62"/>
  <c r="CP5" i="62" s="1"/>
  <c r="BG6" i="62"/>
  <c r="BB5" i="62"/>
  <c r="AH14" i="62"/>
  <c r="BB12" i="62"/>
  <c r="AR13" i="62"/>
  <c r="BB9" i="62"/>
  <c r="BL11" i="62"/>
  <c r="DB11" i="62" s="1"/>
  <c r="BL6" i="62"/>
  <c r="CV6" i="62" s="1"/>
  <c r="BQ5" i="62"/>
  <c r="BQ8" i="62"/>
  <c r="AW13" i="62"/>
  <c r="AM8" i="62"/>
  <c r="AR12" i="62"/>
  <c r="AH12" i="62"/>
  <c r="AM11" i="62"/>
  <c r="CP11" i="62" s="1"/>
  <c r="AW11" i="62"/>
  <c r="CR11" i="62" s="1"/>
  <c r="BQ11" i="62"/>
  <c r="BV14" i="62"/>
  <c r="AM14" i="62"/>
  <c r="BL13" i="62"/>
  <c r="AM6" i="62"/>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AR14" i="62"/>
  <c r="AW8" i="62"/>
  <c r="BL7" i="62"/>
  <c r="CV7" i="62" s="1"/>
  <c r="BG14" i="62"/>
  <c r="CW14" i="62" s="1"/>
  <c r="BB14" i="62"/>
  <c r="CS14" i="62" s="1"/>
  <c r="BV12" i="62"/>
  <c r="AR5" i="62"/>
  <c r="AH11" i="62"/>
  <c r="BG13" i="62"/>
  <c r="AH7" i="62"/>
  <c r="AM9" i="62"/>
  <c r="CP9" i="62" s="1"/>
  <c r="BQ9" i="62"/>
  <c r="CU9" i="62" s="1"/>
  <c r="BG8" i="62"/>
  <c r="CW8" i="62" s="1"/>
  <c r="AR10" i="62"/>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V11" i="62"/>
  <c r="CI5" i="62"/>
  <c r="BZ14" i="62"/>
  <c r="CN10" i="62"/>
  <c r="CG12" i="62"/>
  <c r="CH11" i="62"/>
  <c r="CX9" i="62"/>
  <c r="CC9" i="62"/>
  <c r="CN14" i="62"/>
  <c r="E54" i="39"/>
  <c r="E36" i="39"/>
  <c r="CR12" i="62"/>
  <c r="CM11" i="62"/>
  <c r="CH8" i="62"/>
  <c r="CA6" i="62"/>
  <c r="CA8" i="62"/>
  <c r="DE11" i="62"/>
  <c r="CC8" i="62"/>
  <c r="J53" i="37"/>
  <c r="CD11" i="62"/>
  <c r="CB11" i="62"/>
  <c r="CS13" i="62"/>
  <c r="CY5" i="62"/>
  <c r="CF6" i="62"/>
  <c r="CP14" i="62"/>
  <c r="DD14" i="62"/>
  <c r="DE5"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DD10" i="62"/>
  <c r="BZ12" i="62"/>
  <c r="DC10" i="62"/>
  <c r="CT8" i="62"/>
  <c r="DD13" i="62"/>
  <c r="CT14" i="62"/>
  <c r="DC14" i="62"/>
  <c r="CM12" i="62"/>
  <c r="BY9" i="62"/>
  <c r="CV5" i="62"/>
  <c r="DE14"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U14" i="62"/>
  <c r="CH6" i="62"/>
  <c r="CZ9" i="62"/>
  <c r="E35" i="39"/>
  <c r="E53" i="39"/>
  <c r="CI12" i="62"/>
  <c r="CZ12" i="62"/>
  <c r="CQ10" i="62"/>
  <c r="CB12" i="62"/>
  <c r="CX6"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U5" i="62"/>
  <c r="CG14" i="62"/>
  <c r="CQ6" i="62"/>
  <c r="CL11" i="62"/>
  <c r="CW13" i="62"/>
  <c r="CM10" i="62"/>
  <c r="CR5" i="62"/>
  <c r="CV8" i="62"/>
  <c r="CV13" i="62"/>
  <c r="CH14" i="62"/>
  <c r="DB13" i="62"/>
  <c r="CB14" i="62"/>
  <c r="DE6" i="62"/>
  <c r="CZ10" i="62"/>
  <c r="CF9" i="62"/>
  <c r="CN7" i="62"/>
  <c r="CJ13" i="62"/>
  <c r="CJ7" i="62"/>
  <c r="DE12" i="62"/>
  <c r="CB13" i="62"/>
  <c r="CQ13" i="62"/>
  <c r="CU13" i="62"/>
  <c r="CY11" i="62"/>
  <c r="BY8" i="62"/>
  <c r="CM5" i="62"/>
  <c r="CZ14" i="62"/>
  <c r="CT9" i="62"/>
  <c r="CQ14" i="62"/>
  <c r="CJ12" i="62"/>
  <c r="CA12" i="62"/>
  <c r="CJ10" i="62"/>
  <c r="CC12" i="62"/>
  <c r="R20" i="39" l="1"/>
  <c r="H9" i="60" s="1"/>
  <c r="C9" i="60" s="1"/>
  <c r="D52" i="39"/>
  <c r="D14" i="39" s="1"/>
  <c r="R14" i="39" s="1"/>
  <c r="H11" i="30" s="1"/>
  <c r="DA8" i="62"/>
  <c r="CR6" i="62"/>
  <c r="CX11" i="62"/>
  <c r="CY14" i="62"/>
  <c r="CS10" i="62"/>
  <c r="DE9" i="62"/>
  <c r="DA14" i="62"/>
  <c r="DD11" i="62"/>
  <c r="CW10" i="62"/>
  <c r="CX7" i="62"/>
  <c r="DD7" i="62"/>
  <c r="CQ8" i="62"/>
  <c r="CZ7" i="62"/>
  <c r="CV14" i="62"/>
  <c r="DA11" i="62"/>
  <c r="CX5" i="62"/>
  <c r="F30" i="38"/>
  <c r="G32" i="38" s="1"/>
  <c r="H32" i="38" s="1"/>
  <c r="I38" i="39"/>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I15" i="39"/>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U67" i="37" s="1"/>
  <c r="R67" i="37" l="1"/>
  <c r="S67" i="37"/>
  <c r="X67" i="37" s="1"/>
  <c r="V67" i="37"/>
  <c r="T67" i="37"/>
  <c r="Y67" i="37" s="1"/>
  <c r="W67" i="37"/>
  <c r="AA67" i="37" l="1"/>
  <c r="Z67" i="37"/>
  <c r="AB67" i="37" l="1"/>
  <c r="O68" i="37" s="1"/>
  <c r="P68" i="37" s="1"/>
  <c r="Q68" i="37" l="1"/>
  <c r="U68" i="37" s="1"/>
  <c r="T68" i="37" l="1"/>
  <c r="Y68" i="37" s="1"/>
  <c r="S68" i="37"/>
  <c r="X68" i="37" s="1"/>
  <c r="V68" i="37"/>
  <c r="R68" i="37"/>
  <c r="W68" i="37"/>
  <c r="AA68" i="37" l="1"/>
  <c r="Z68" i="37"/>
  <c r="AB68" i="37" l="1"/>
  <c r="O69" i="37" s="1"/>
  <c r="Q69" i="37" s="1"/>
  <c r="P69" i="37" l="1"/>
  <c r="S69" i="37" s="1"/>
  <c r="X69" i="37" s="1"/>
  <c r="U69" i="37" l="1"/>
  <c r="V69" i="37"/>
  <c r="T69" i="37"/>
  <c r="Y69" i="37" s="1"/>
  <c r="R69" i="37"/>
  <c r="W69" i="37"/>
  <c r="AA69" i="37" l="1"/>
  <c r="Z69" i="37"/>
  <c r="AB69" i="37" l="1"/>
  <c r="O70" i="37" s="1"/>
  <c r="N63" i="37" s="1"/>
  <c r="B89" i="37" s="1"/>
  <c r="D89" i="37" s="1"/>
  <c r="E89" i="37" l="1"/>
  <c r="L89" i="37" s="1"/>
  <c r="C89" i="37"/>
  <c r="H89" i="37" s="1"/>
  <c r="F89" i="37"/>
  <c r="K36" i="37"/>
  <c r="P70" i="37"/>
  <c r="Q70" i="37"/>
  <c r="S70" i="37" l="1"/>
  <c r="X70" i="37" s="1"/>
  <c r="T70" i="37"/>
  <c r="Y70" i="37" s="1"/>
  <c r="R70" i="37"/>
  <c r="V70" i="37"/>
  <c r="K89" i="37"/>
  <c r="G89" i="37"/>
  <c r="I89" i="37"/>
  <c r="U70" i="37"/>
  <c r="W70" i="37"/>
  <c r="AA70" i="37" l="1"/>
  <c r="Z70" i="37"/>
  <c r="J89" i="37"/>
  <c r="I36" i="37" s="1"/>
  <c r="E36" i="37" s="1"/>
  <c r="E10" i="39" s="1"/>
  <c r="D10" i="39" s="1"/>
  <c r="N89" i="37"/>
  <c r="J36" i="37" s="1"/>
  <c r="AB70" i="37" l="1"/>
  <c r="F10" i="39"/>
  <c r="O89" i="37"/>
  <c r="D26" i="39"/>
  <c r="D46" i="39"/>
  <c r="D65" i="39"/>
  <c r="R10" i="39"/>
  <c r="G25" i="60" l="1"/>
  <c r="D26" i="30"/>
  <c r="E49" i="39"/>
  <c r="F49" i="39"/>
  <c r="D49" i="39"/>
  <c r="D39" i="39"/>
  <c r="R26" i="39"/>
  <c r="D57" i="39"/>
  <c r="E60" i="39" l="1"/>
  <c r="F60" i="39"/>
  <c r="D60" i="39"/>
  <c r="D42" i="39"/>
  <c r="E42" i="39"/>
  <c r="F42" i="39"/>
  <c r="H26" i="30"/>
  <c r="H15" i="60"/>
  <c r="E15" i="60" l="1"/>
  <c r="F15" i="60"/>
  <c r="C15" i="60"/>
  <c r="F16" i="39"/>
  <c r="F43" i="39"/>
  <c r="F17" i="39" s="1"/>
  <c r="E16" i="39"/>
  <c r="E43" i="39"/>
  <c r="E17" i="39" s="1"/>
  <c r="I43" i="39"/>
  <c r="I17" i="39" s="1"/>
  <c r="D43" i="39"/>
  <c r="D17" i="39" s="1"/>
  <c r="D16" i="39"/>
  <c r="R16" i="39" l="1"/>
  <c r="H13" i="30" s="1"/>
  <c r="R17" i="39"/>
  <c r="H14" i="3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<sst xmlns="http://schemas.openxmlformats.org/spreadsheetml/2006/main" count="6671" uniqueCount="4042">
  <si>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</si>
  <si>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</si>
  <si>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</si>
  <si>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</si>
  <si>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</si>
  <si>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</si>
  <si>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</si>
  <si>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</si>
  <si>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</si>
  <si>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</si>
  <si>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</si>
  <si>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</si>
  <si>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</si>
  <si>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</si>
  <si>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</si>
  <si>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</si>
  <si>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</si>
  <si>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</si>
  <si>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</si>
  <si>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</si>
  <si>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</si>
  <si>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</si>
  <si>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</si>
  <si>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</si>
  <si>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</si>
  <si>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</si>
  <si>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</si>
  <si>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</si>
  <si>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</si>
  <si>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</si>
  <si>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</si>
  <si>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</si>
  <si>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</si>
  <si>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</si>
  <si>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</si>
  <si>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</si>
  <si>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</si>
  <si>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</si>
  <si>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</si>
  <si>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</si>
  <si>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</si>
  <si>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</si>
  <si>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</si>
  <si>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</si>
  <si>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</si>
  <si>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</si>
  <si>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</si>
  <si>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</si>
  <si>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</si>
  <si>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</si>
  <si>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</si>
  <si>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</si>
  <si>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</si>
  <si>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</si>
  <si>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</si>
  <si>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</si>
  <si>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</si>
  <si>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</si>
  <si>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</si>
  <si>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</si>
  <si>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</si>
  <si>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</si>
  <si>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</si>
  <si>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</si>
  <si>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</si>
  <si>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</si>
  <si>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</si>
  <si>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</si>
  <si>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</si>
  <si>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</si>
  <si>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</si>
  <si>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</si>
  <si>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</si>
  <si>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</si>
  <si>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</si>
  <si>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</si>
  <si>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</si>
  <si>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</si>
  <si>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</si>
  <si>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</si>
  <si>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</si>
  <si>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</si>
  <si>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</si>
  <si>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</si>
  <si>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</si>
  <si>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</si>
  <si>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</si>
  <si>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</si>
  <si>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</si>
  <si>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</si>
  <si>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</si>
  <si>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</si>
  <si>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</si>
  <si>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</si>
  <si>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</si>
  <si>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</si>
  <si>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</si>
  <si>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</si>
  <si>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</si>
  <si>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</si>
  <si>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</si>
  <si>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</si>
  <si>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</si>
  <si>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</si>
  <si>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</si>
  <si>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</si>
  <si>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</si>
  <si>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</si>
  <si>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</si>
  <si>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</si>
  <si>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</si>
  <si>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</si>
  <si>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</si>
  <si>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</si>
  <si>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</si>
  <si>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</si>
  <si>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</si>
  <si>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</si>
  <si>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</si>
  <si>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</si>
  <si>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</si>
  <si>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</si>
  <si>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</si>
  <si>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</si>
  <si>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</si>
  <si>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</si>
  <si>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</si>
  <si>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</si>
  <si>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</si>
  <si>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</si>
  <si>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</si>
  <si>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</si>
  <si>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</si>
  <si>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</si>
  <si>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</si>
  <si>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</si>
  <si>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</si>
  <si>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</si>
  <si>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</si>
  <si>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</si>
  <si>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</si>
  <si>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</si>
  <si>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</si>
  <si>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</si>
  <si>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</si>
  <si>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</si>
  <si>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</si>
  <si>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</si>
  <si>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</si>
  <si>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</si>
  <si>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</si>
  <si>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</si>
  <si>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</si>
  <si>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</si>
  <si>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</si>
  <si>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</si>
  <si>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</si>
  <si>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</si>
  <si>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</si>
  <si>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</si>
  <si>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</si>
  <si>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</si>
  <si>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</si>
  <si>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</si>
  <si>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</si>
  <si>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</si>
  <si>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</si>
  <si>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</si>
  <si>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</si>
  <si>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</si>
  <si>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</si>
  <si>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</si>
  <si>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</si>
  <si>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</si>
  <si>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</si>
  <si>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</si>
  <si>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</si>
  <si>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</si>
  <si>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</si>
  <si>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</si>
  <si>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</si>
  <si>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</si>
  <si>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</si>
  <si>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</si>
  <si>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</si>
  <si>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</si>
  <si>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</si>
  <si>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</si>
  <si>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</si>
  <si>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</si>
  <si>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</si>
  <si>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</si>
  <si>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</si>
  <si>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</si>
  <si>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</si>
  <si>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</si>
  <si>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</si>
  <si>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</si>
  <si>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</si>
  <si>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</si>
  <si>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</si>
  <si>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</si>
  <si>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</si>
  <si>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</si>
  <si>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</si>
  <si>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</si>
  <si>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</si>
  <si>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</si>
  <si>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</si>
  <si>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</si>
  <si>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</si>
  <si>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</si>
  <si>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</si>
  <si>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</si>
  <si>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</si>
  <si>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</si>
  <si>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</si>
  <si>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</si>
  <si>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</si>
  <si>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</si>
  <si>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</si>
  <si>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</si>
  <si>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</si>
  <si>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</si>
  <si>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</si>
  <si>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</si>
  <si>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</si>
  <si>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</si>
  <si>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</si>
  <si>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</si>
  <si>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</si>
  <si>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</si>
  <si>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</si>
  <si>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</si>
  <si>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</si>
  <si>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</si>
  <si>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</si>
  <si>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</si>
  <si>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</si>
  <si>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</si>
  <si>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</si>
  <si>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</si>
  <si>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</si>
  <si>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</si>
  <si>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</si>
  <si>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</si>
  <si>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</si>
  <si>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</si>
  <si>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</si>
  <si>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</si>
  <si>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</si>
  <si>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</si>
  <si>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</si>
  <si>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</si>
  <si>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</si>
  <si>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</si>
  <si>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</si>
  <si>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</si>
  <si>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</si>
  <si>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</si>
  <si>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</si>
  <si>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</si>
  <si>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</si>
  <si>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</si>
  <si>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</si>
  <si>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</si>
  <si>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</si>
  <si>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</si>
  <si>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</si>
  <si>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</si>
  <si>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</si>
  <si>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</si>
  <si>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</si>
  <si>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</si>
  <si>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</si>
  <si>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</si>
  <si>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</si>
  <si>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</si>
  <si>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</si>
  <si>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</si>
  <si>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</si>
  <si>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</si>
  <si>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</si>
  <si>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</si>
  <si>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</si>
  <si>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</si>
  <si>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</si>
  <si>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</si>
  <si>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</si>
  <si>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</si>
  <si>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</si>
  <si>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</si>
  <si>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</si>
  <si>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</si>
  <si>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</si>
  <si>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</si>
  <si>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</si>
  <si>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</si>
  <si>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</si>
  <si>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</si>
  <si>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</si>
  <si>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</si>
  <si>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</si>
  <si>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</si>
  <si>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</si>
  <si>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</si>
  <si>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</si>
  <si>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</si>
  <si>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</si>
  <si>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</si>
  <si>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</si>
  <si>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</si>
  <si>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</si>
  <si>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</si>
  <si>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</si>
  <si>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</si>
  <si>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</si>
  <si>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</si>
  <si>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</si>
  <si>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</si>
  <si>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</si>
  <si>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</si>
  <si>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</si>
  <si>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</si>
  <si>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</si>
  <si>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</si>
  <si>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</si>
  <si>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</si>
  <si>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</si>
  <si>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</si>
  <si>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</si>
  <si>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</si>
  <si>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</si>
  <si>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</si>
  <si>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</si>
  <si>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</si>
  <si>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</si>
  <si>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</si>
  <si>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</si>
  <si>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</si>
  <si>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</si>
  <si>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</si>
  <si>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</si>
  <si>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</si>
  <si>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</si>
  <si>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</si>
  <si>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</si>
  <si>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</si>
  <si>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</si>
  <si>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</si>
  <si>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</si>
  <si>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</si>
  <si>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</si>
  <si>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</si>
  <si>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</si>
  <si>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</si>
  <si>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</si>
  <si>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</si>
  <si>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</si>
  <si>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</si>
  <si>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</si>
  <si>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</si>
  <si>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</si>
  <si>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</si>
  <si>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</si>
  <si>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</si>
  <si>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</si>
  <si>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</si>
  <si>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</si>
  <si>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</si>
  <si>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</si>
  <si>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</si>
  <si>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</si>
  <si>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</si>
  <si>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</si>
  <si>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</si>
  <si>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</si>
  <si>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</si>
  <si>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</si>
  <si>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</si>
  <si>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</si>
  <si>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</si>
  <si>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</si>
  <si>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</si>
  <si>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</si>
  <si>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</si>
  <si>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</si>
  <si>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</si>
  <si>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</si>
  <si>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</si>
  <si>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</si>
  <si>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</si>
  <si>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</si>
  <si>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</si>
  <si>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</si>
  <si>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</si>
  <si>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</si>
  <si>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</si>
  <si>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</si>
  <si>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</si>
  <si>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</si>
  <si>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</si>
  <si>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</si>
  <si>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</si>
  <si>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</si>
  <si>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</si>
  <si>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</si>
  <si>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</si>
  <si>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</si>
  <si>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</si>
  <si>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</si>
  <si>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</si>
  <si>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</si>
  <si>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</si>
  <si>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</si>
  <si>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</si>
  <si>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</si>
  <si>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</si>
  <si>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</si>
  <si>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</si>
  <si>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</si>
  <si>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</si>
  <si>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</si>
  <si>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</si>
  <si>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</si>
  <si>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</si>
  <si>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</si>
  <si>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</si>
  <si>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</si>
  <si>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</si>
  <si>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</si>
  <si>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</si>
  <si>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</si>
  <si>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</si>
  <si>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</si>
  <si>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</si>
  <si>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</si>
  <si>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</si>
  <si>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</si>
  <si>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</si>
  <si>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</si>
  <si>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</si>
  <si>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</si>
  <si>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</si>
  <si>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</si>
  <si>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</si>
  <si>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</si>
  <si>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</si>
  <si>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</si>
  <si>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</si>
  <si>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</si>
  <si>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</si>
  <si>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</si>
  <si>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</si>
  <si>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</si>
  <si>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</si>
  <si>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</si>
  <si>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</si>
  <si>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</si>
  <si>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</si>
  <si>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</si>
  <si>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</si>
  <si>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</si>
  <si>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</si>
  <si>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</si>
  <si>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</si>
  <si>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</si>
  <si>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</si>
  <si>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</si>
  <si>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</si>
  <si>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</si>
  <si>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</si>
  <si>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</si>
  <si>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</si>
  <si>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</si>
  <si>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</si>
  <si>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</si>
  <si>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</si>
  <si>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</si>
  <si>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</si>
  <si>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</si>
  <si>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</si>
  <si>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</si>
  <si>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</si>
  <si>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</si>
  <si>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</si>
  <si>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</si>
  <si>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</si>
  <si>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</si>
  <si>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</si>
  <si>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</si>
  <si>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</si>
  <si>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</si>
  <si>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</si>
  <si>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</si>
  <si>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</si>
  <si>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</si>
  <si>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</si>
  <si>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</si>
  <si>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</si>
  <si>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</si>
  <si>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</si>
  <si>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</si>
  <si>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</si>
  <si>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</si>
  <si>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</si>
  <si>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</si>
  <si>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</si>
  <si>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</si>
  <si>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</si>
  <si>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</si>
  <si>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</si>
  <si>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</si>
  <si>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</si>
  <si>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</si>
  <si>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</si>
  <si>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</si>
  <si>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</si>
  <si>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</si>
  <si>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</si>
  <si>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</si>
  <si>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</si>
  <si>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</si>
  <si>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</si>
  <si>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</si>
  <si>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</si>
  <si>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</si>
  <si>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</si>
  <si>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</si>
  <si>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</si>
  <si>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</si>
  <si>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</si>
  <si>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</si>
  <si>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</si>
  <si>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</si>
  <si>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</si>
  <si>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</si>
  <si>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</si>
  <si>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</si>
  <si>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</si>
  <si>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</si>
  <si>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</si>
  <si>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</si>
  <si>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</si>
  <si>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</si>
  <si>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</si>
  <si>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</si>
  <si>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</si>
  <si>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</si>
  <si>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</si>
  <si>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</si>
  <si>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</si>
  <si>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</si>
  <si>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</si>
  <si>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</si>
  <si>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</si>
  <si>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</si>
  <si>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</si>
  <si>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</si>
  <si>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</si>
  <si>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</si>
  <si>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</si>
  <si>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</si>
  <si>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</si>
  <si>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</si>
  <si>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</si>
  <si>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</si>
  <si>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</si>
  <si>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</si>
  <si>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</si>
  <si>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</si>
  <si>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</si>
  <si>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</si>
  <si>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</si>
  <si>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</si>
  <si>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</si>
  <si>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</si>
  <si>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</si>
  <si>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</si>
  <si>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</si>
  <si>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</si>
  <si>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</si>
  <si>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</si>
  <si>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</si>
  <si>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</si>
  <si>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</si>
  <si>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</si>
  <si>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</si>
  <si>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</si>
  <si>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</si>
  <si>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</si>
  <si>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</si>
  <si>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</si>
  <si>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</si>
  <si>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</si>
  <si>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</si>
  <si>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</si>
  <si>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</si>
  <si>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</si>
  <si>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</si>
  <si>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</si>
  <si>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</si>
  <si>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</si>
  <si>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</si>
  <si>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</si>
  <si>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</si>
  <si>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</si>
  <si>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</si>
  <si>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</si>
  <si>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</si>
  <si>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</si>
  <si>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</si>
  <si>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</si>
  <si>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</si>
  <si>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</si>
  <si>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</si>
  <si>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</si>
  <si>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</si>
  <si>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</si>
  <si>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</si>
  <si>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</si>
  <si>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</si>
  <si>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</si>
  <si>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</si>
  <si>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</si>
  <si>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</si>
  <si>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</si>
  <si>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</si>
  <si>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</si>
  <si>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</si>
  <si>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</si>
  <si>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</si>
  <si>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</si>
  <si>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</si>
  <si>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</si>
  <si>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</si>
  <si>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</si>
  <si>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</si>
  <si>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</si>
  <si>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</si>
  <si>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</si>
  <si>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</si>
  <si>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</si>
  <si>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</si>
  <si>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</si>
  <si>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</si>
  <si>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</si>
  <si>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</si>
  <si>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</si>
  <si>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</si>
  <si>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</si>
  <si>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</si>
  <si>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</si>
  <si>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</si>
  <si>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</si>
  <si>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</si>
  <si>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</si>
  <si>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</si>
  <si>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</si>
  <si>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</si>
  <si>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</si>
  <si>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</si>
  <si>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</si>
  <si>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</si>
  <si>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</si>
  <si>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</si>
  <si>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</si>
  <si>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</si>
  <si>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</si>
  <si>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</si>
  <si>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</si>
  <si>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</si>
  <si>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</si>
  <si>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</si>
  <si>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</si>
  <si>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</si>
  <si>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</si>
  <si>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</si>
  <si>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</si>
  <si>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</si>
  <si>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</si>
  <si>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</si>
  <si>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</si>
  <si>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</si>
  <si>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</si>
  <si>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</si>
  <si>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</si>
  <si>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</si>
  <si>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</si>
  <si>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</si>
  <si>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</si>
  <si>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</si>
  <si>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</si>
  <si>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</si>
  <si>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</si>
  <si>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</si>
  <si>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</si>
  <si>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</si>
  <si>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</si>
  <si>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</si>
  <si>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</si>
  <si>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</si>
  <si>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</si>
  <si>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</si>
  <si>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</si>
  <si>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</si>
  <si>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</si>
  <si>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</si>
  <si>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</si>
  <si>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</si>
  <si>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</si>
  <si>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</si>
  <si>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</si>
  <si>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</si>
  <si>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</si>
  <si>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</si>
  <si>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</si>
  <si>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</si>
  <si>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</si>
  <si>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</si>
  <si>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</si>
  <si>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</si>
  <si>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</si>
  <si>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</si>
  <si>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</si>
  <si>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</si>
  <si>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</si>
  <si>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</si>
  <si>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</si>
  <si>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</si>
  <si>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</si>
  <si>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</si>
  <si>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</si>
  <si>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</si>
  <si>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</si>
  <si>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</si>
  <si>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</si>
  <si>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</si>
  <si>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</si>
  <si>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</si>
  <si>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</si>
  <si>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</si>
  <si>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</si>
  <si>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</si>
  <si>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</si>
  <si>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</si>
  <si>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</si>
  <si>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</si>
  <si>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</si>
  <si>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</si>
  <si>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</si>
  <si>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</si>
  <si>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</si>
  <si>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</si>
  <si>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</si>
  <si>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</si>
  <si>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</si>
  <si>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</si>
  <si>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</si>
  <si>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</si>
  <si>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</si>
  <si>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</si>
  <si>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</si>
  <si>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</si>
  <si>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</si>
  <si>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</si>
  <si>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</si>
  <si>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</si>
  <si>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</si>
  <si>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</si>
  <si>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</si>
  <si>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</si>
  <si>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</si>
  <si>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</si>
  <si>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</si>
  <si>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</si>
  <si>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</si>
  <si>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</si>
  <si>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</si>
  <si>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</si>
  <si>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</si>
  <si>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</si>
  <si>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</si>
  <si>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</si>
  <si>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</si>
  <si>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</si>
  <si>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</si>
  <si>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</si>
  <si>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</si>
  <si>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</si>
  <si>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</si>
  <si>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</si>
  <si>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</si>
  <si>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</si>
  <si>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</si>
  <si>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</si>
  <si>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</si>
  <si>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</si>
  <si>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</si>
  <si>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</si>
  <si>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</si>
  <si>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</si>
  <si>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</si>
  <si>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</si>
  <si>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</si>
  <si>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</si>
  <si>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</si>
  <si>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</si>
  <si>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</si>
  <si>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</si>
  <si>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</si>
  <si>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</si>
  <si>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</si>
  <si>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</si>
  <si>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</si>
  <si>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</si>
  <si>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</si>
  <si>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</si>
  <si>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</si>
  <si>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</si>
  <si>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</si>
  <si>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</si>
  <si>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</si>
  <si>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</si>
  <si>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</si>
  <si>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</si>
  <si>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</si>
  <si>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</si>
  <si>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</si>
  <si>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</si>
  <si>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</si>
  <si>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</si>
  <si>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</si>
  <si>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</si>
  <si>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</si>
  <si>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</si>
  <si>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</si>
  <si>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</si>
  <si>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</si>
  <si>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</si>
  <si>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</si>
  <si>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</si>
  <si>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</si>
  <si>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</si>
  <si>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</si>
  <si>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</si>
  <si>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</si>
  <si>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</si>
  <si>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</si>
  <si>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</si>
  <si>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</si>
  <si>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</si>
  <si>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</si>
  <si>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</si>
  <si>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</si>
  <si>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</si>
  <si>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</si>
  <si>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</si>
  <si>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</si>
  <si>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</si>
  <si>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</si>
  <si>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</si>
  <si>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</si>
  <si>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</si>
  <si>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</si>
  <si>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</si>
  <si>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</si>
  <si>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</si>
  <si>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</si>
  <si>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</si>
  <si>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</si>
  <si>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</si>
  <si>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</si>
  <si>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</si>
  <si>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</si>
  <si>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</si>
  <si>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</si>
  <si>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</si>
  <si>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</si>
  <si>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</si>
  <si>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</si>
  <si>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</si>
  <si>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</si>
  <si>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</si>
  <si>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</si>
  <si>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</si>
  <si>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</si>
  <si>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</si>
  <si>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</si>
  <si>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</si>
  <si>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</si>
  <si>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</si>
  <si>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</si>
  <si>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</si>
  <si>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</si>
  <si>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</si>
  <si>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</si>
  <si>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</si>
  <si>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</si>
  <si>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</si>
  <si>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</si>
  <si>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</si>
  <si>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</si>
  <si>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</si>
  <si>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</si>
  <si>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</si>
  <si>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</si>
  <si>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</si>
  <si>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</si>
  <si>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</si>
  <si>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</si>
  <si>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</si>
  <si>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</si>
  <si>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</si>
  <si>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</si>
  <si>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</si>
  <si>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</si>
  <si>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</si>
  <si>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</si>
  <si>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</si>
  <si>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</si>
  <si>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</si>
  <si>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</si>
  <si>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</si>
  <si>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</si>
  <si>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</si>
  <si>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</si>
  <si>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</si>
  <si>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</si>
  <si>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</si>
  <si>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</si>
  <si>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</si>
  <si>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</si>
  <si>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</si>
  <si>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</si>
  <si>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</si>
  <si>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</si>
  <si>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</si>
  <si>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</si>
  <si>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</si>
  <si>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</si>
  <si>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</si>
  <si>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</si>
  <si>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</si>
  <si>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</si>
  <si>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</si>
  <si>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</si>
  <si>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</si>
  <si>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</si>
  <si>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</si>
  <si>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</si>
  <si>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</si>
  <si>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</si>
  <si>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</si>
  <si>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</si>
  <si>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</si>
  <si>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</si>
  <si>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</si>
  <si>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</si>
  <si>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</si>
  <si>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</si>
  <si>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</si>
  <si>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</si>
  <si>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</si>
  <si>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</si>
  <si>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</si>
  <si>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</si>
  <si>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</si>
  <si>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</si>
  <si>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</si>
  <si>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</si>
  <si>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</si>
  <si>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</si>
  <si>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</si>
  <si>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</si>
  <si>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</si>
  <si>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</si>
  <si>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</si>
  <si>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</si>
  <si>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</si>
  <si>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</si>
  <si>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</si>
  <si>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</si>
  <si>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</si>
  <si>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</si>
  <si>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</si>
  <si>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</si>
  <si>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</si>
  <si>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</si>
  <si>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</si>
  <si>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</si>
  <si>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</si>
  <si>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</si>
  <si>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</si>
  <si>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</si>
  <si>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</si>
  <si>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</si>
  <si>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</si>
  <si>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</si>
  <si>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</si>
  <si>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</si>
  <si>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</si>
  <si>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</si>
  <si>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</si>
  <si>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</si>
  <si>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</si>
  <si>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</si>
  <si>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</si>
  <si>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</si>
  <si>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</si>
  <si>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</si>
  <si>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</si>
  <si>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</si>
  <si>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</si>
  <si>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</si>
  <si>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</si>
  <si>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</si>
  <si>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</si>
  <si>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</si>
  <si>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</si>
  <si>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</si>
  <si>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</si>
  <si>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</si>
  <si>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</si>
  <si>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</si>
  <si>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</si>
  <si>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</si>
  <si>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</si>
  <si>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</si>
  <si>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</si>
  <si>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</si>
  <si>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</si>
  <si>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</si>
  <si>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</si>
  <si>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</si>
  <si>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</si>
  <si>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</si>
  <si>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</si>
  <si>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</si>
  <si>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</si>
  <si>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</si>
  <si>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</si>
  <si>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</si>
  <si>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</si>
  <si>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</si>
  <si>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</si>
  <si>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</si>
  <si>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</si>
  <si>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</si>
  <si>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</si>
  <si>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</si>
  <si>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</si>
  <si>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</si>
  <si>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</si>
  <si>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</si>
  <si>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</si>
  <si>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</si>
  <si>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</si>
  <si>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</si>
  <si>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</si>
  <si>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</si>
  <si>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</si>
  <si>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</si>
  <si>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</si>
  <si>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</si>
  <si>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</si>
  <si>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</si>
  <si>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</si>
  <si>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</si>
  <si>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</si>
  <si>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</si>
  <si>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</si>
  <si>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</si>
  <si>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</si>
  <si>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</si>
  <si>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</si>
  <si>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</si>
  <si>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</si>
  <si>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</si>
  <si>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</si>
  <si>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</si>
  <si>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</si>
  <si>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</si>
  <si>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</si>
  <si>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</si>
  <si>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</si>
  <si>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</si>
  <si>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</si>
  <si>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</si>
  <si>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</si>
  <si>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</si>
  <si>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</si>
  <si>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</si>
  <si>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</si>
  <si>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</si>
  <si>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</si>
  <si>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</si>
  <si>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</si>
  <si>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</si>
  <si>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</si>
  <si>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</si>
  <si>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</si>
  <si>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</si>
  <si>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</si>
  <si>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</si>
  <si>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</si>
  <si>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</si>
  <si>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</si>
  <si>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</si>
  <si>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</si>
  <si>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</si>
  <si>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</si>
  <si>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</si>
  <si>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</si>
  <si>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</si>
  <si>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</si>
  <si>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</si>
  <si>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</si>
  <si>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</si>
  <si>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</si>
  <si>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</si>
  <si>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</si>
  <si>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</si>
  <si>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</si>
  <si>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</si>
  <si>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</si>
  <si>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</si>
  <si>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</si>
  <si>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</si>
  <si>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</si>
  <si>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</si>
  <si>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</si>
  <si>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</si>
  <si>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</si>
  <si>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</si>
  <si>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</si>
  <si>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</si>
  <si>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</si>
  <si>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</si>
  <si>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</si>
  <si>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</si>
  <si>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</si>
  <si>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</si>
  <si>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</si>
  <si>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</si>
  <si>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</si>
  <si>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</si>
  <si>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</si>
  <si>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</si>
  <si>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</si>
  <si>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</si>
  <si>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</si>
  <si>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</si>
  <si>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</si>
  <si>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</si>
  <si>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</si>
  <si>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</si>
  <si>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</si>
  <si>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</si>
  <si>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</si>
  <si>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</si>
  <si>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</si>
  <si>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</si>
  <si>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</si>
  <si>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</si>
  <si>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</si>
  <si>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</si>
  <si>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</si>
  <si>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</si>
  <si>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</si>
  <si>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</si>
  <si>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</si>
  <si>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</si>
  <si>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</si>
  <si>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</si>
  <si>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</si>
  <si>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</si>
  <si>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</si>
  <si>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</si>
  <si>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</si>
  <si>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</si>
  <si>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</si>
  <si>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</si>
  <si>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</si>
  <si>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</si>
  <si>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</si>
  <si>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</si>
  <si>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</si>
  <si>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</si>
  <si>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</si>
  <si>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</si>
  <si>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</si>
  <si>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</si>
  <si>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</si>
  <si>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</si>
  <si>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</si>
  <si>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</si>
  <si>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</si>
  <si>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</si>
  <si>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</si>
  <si>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</si>
  <si>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</si>
  <si>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</si>
  <si>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</si>
  <si>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</si>
  <si>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</si>
  <si>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</si>
  <si>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</si>
  <si>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</si>
  <si>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</si>
  <si>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</si>
  <si>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</si>
  <si>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</si>
  <si>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</si>
  <si>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</si>
  <si>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</si>
  <si>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</si>
  <si>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</si>
  <si>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</si>
  <si>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</si>
  <si>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</si>
  <si>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</si>
  <si>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</si>
  <si>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</si>
  <si>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</si>
  <si>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</si>
  <si>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</si>
  <si>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</si>
  <si>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</si>
  <si>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</si>
  <si>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</si>
  <si>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</si>
  <si>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</si>
  <si>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</si>
  <si>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</si>
  <si>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</si>
  <si>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</si>
  <si>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</si>
  <si>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</si>
  <si>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</si>
  <si>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</si>
  <si>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</si>
  <si>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</si>
  <si>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</si>
  <si>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</si>
  <si>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</si>
  <si>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</si>
  <si>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</si>
  <si>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</si>
  <si>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</si>
  <si>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</si>
  <si>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</si>
  <si>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</si>
  <si>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</si>
  <si>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</si>
  <si>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</si>
  <si>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</si>
  <si>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</si>
  <si>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</si>
  <si>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</si>
  <si>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</si>
  <si>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</si>
  <si>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</si>
  <si>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</si>
  <si>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</si>
  <si>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</si>
  <si>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</si>
  <si>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</si>
  <si>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</si>
  <si>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</si>
  <si>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</si>
  <si>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</si>
  <si>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</si>
  <si>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</si>
  <si>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</si>
  <si>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</si>
  <si>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</si>
  <si>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</si>
  <si>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</si>
  <si>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</si>
  <si>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</si>
  <si>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</si>
  <si>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</si>
  <si>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</si>
  <si>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</si>
  <si>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</si>
  <si>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</si>
  <si>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</si>
  <si>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</si>
  <si>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</si>
  <si>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</si>
  <si>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</si>
  <si>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</si>
  <si>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</si>
  <si>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</si>
  <si>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</si>
  <si>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</si>
  <si>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</si>
  <si>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</si>
  <si>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</si>
  <si>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</si>
  <si>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</si>
  <si>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</si>
  <si>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</si>
  <si>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</si>
  <si>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</si>
  <si>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</si>
  <si>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</si>
  <si>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</si>
  <si>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</si>
  <si>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</si>
  <si>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</si>
  <si>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</si>
  <si>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</si>
  <si>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</si>
  <si>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</si>
  <si>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</si>
  <si>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</si>
  <si>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</si>
  <si>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</si>
  <si>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</si>
  <si>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</si>
  <si>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</si>
  <si>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</si>
  <si>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</si>
  <si>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</si>
  <si>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</si>
  <si>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</si>
  <si>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</si>
  <si>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</si>
  <si>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</si>
  <si>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</si>
  <si>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</si>
  <si>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</si>
  <si>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</si>
  <si>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</si>
  <si>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</si>
  <si>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</si>
  <si>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</si>
  <si>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</si>
  <si>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</si>
  <si>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</si>
  <si>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</si>
  <si>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</si>
  <si>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</si>
  <si>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</si>
  <si>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</si>
  <si>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</si>
  <si>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</si>
  <si>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</si>
  <si>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</si>
  <si>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</si>
  <si>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</si>
  <si>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</si>
  <si>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</si>
  <si>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</si>
  <si>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</si>
  <si>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</si>
  <si>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</si>
  <si>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</si>
  <si>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</si>
  <si>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</si>
  <si>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</si>
  <si>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</si>
  <si>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</si>
  <si>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</si>
  <si>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</si>
  <si>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</si>
  <si>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</si>
  <si>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</si>
  <si>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</si>
  <si>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</si>
  <si>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</si>
  <si>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</si>
  <si>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</si>
  <si>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</si>
  <si>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</si>
  <si>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</si>
  <si>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</si>
  <si>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</si>
  <si>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</si>
  <si>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</si>
  <si>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</si>
  <si>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</si>
  <si>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</si>
  <si>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</si>
  <si>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</si>
  <si>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</si>
  <si>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</si>
  <si>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</si>
  <si>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</si>
  <si>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</si>
  <si>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</si>
  <si>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</si>
  <si>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</si>
  <si>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</si>
  <si>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</si>
  <si>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</si>
  <si>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</si>
  <si>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</si>
  <si>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</si>
  <si>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</si>
  <si>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</si>
  <si>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</si>
  <si>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</si>
  <si>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</si>
  <si>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</si>
  <si>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</si>
  <si>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</si>
  <si>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</si>
  <si>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</si>
  <si>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</si>
  <si>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</si>
  <si>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</si>
  <si>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</si>
  <si>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</si>
  <si>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</si>
  <si>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</si>
  <si>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</si>
  <si>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</si>
  <si>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</si>
  <si>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</si>
  <si>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</si>
  <si>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</si>
  <si>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</si>
  <si>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</si>
  <si>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</si>
  <si>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</si>
  <si>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</si>
  <si>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</si>
  <si>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</si>
  <si>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</si>
  <si>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</si>
  <si>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</si>
  <si>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</si>
  <si>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</si>
  <si>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</si>
  <si>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</si>
  <si>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</si>
  <si>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</si>
  <si>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</si>
  <si>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</si>
  <si>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</si>
  <si>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</si>
  <si>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</si>
  <si>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</si>
  <si>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</si>
  <si>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</si>
  <si>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</si>
  <si>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</si>
  <si>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</si>
  <si>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</si>
  <si>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</si>
  <si>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</si>
  <si>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</si>
  <si>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</si>
  <si>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</si>
  <si>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</si>
  <si>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</si>
  <si>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</si>
  <si>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</si>
  <si>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</si>
  <si>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</si>
  <si>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</si>
  <si>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</si>
  <si>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</si>
  <si>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</si>
  <si>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</si>
  <si>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</si>
  <si>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</si>
  <si>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</si>
  <si>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</si>
  <si>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</si>
  <si>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</si>
  <si>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</si>
  <si>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</si>
  <si>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</si>
  <si>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</si>
  <si>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</si>
  <si>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</si>
  <si>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</si>
  <si>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</si>
  <si>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</si>
  <si>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</si>
  <si>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</si>
  <si>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</si>
  <si>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</si>
  <si>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</si>
  <si>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</si>
  <si>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</si>
  <si>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</si>
  <si>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</si>
  <si>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</si>
  <si>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</si>
  <si>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</si>
  <si>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</si>
  <si>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</si>
  <si>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</si>
  <si>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</si>
  <si>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</si>
  <si>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</si>
  <si>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</si>
  <si>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</si>
  <si>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</si>
  <si>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</si>
  <si>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</si>
  <si>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</si>
  <si>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</si>
  <si>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</si>
  <si>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</si>
  <si>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</si>
  <si>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</si>
  <si>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</si>
  <si>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</si>
  <si>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</si>
  <si>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</si>
  <si>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</si>
  <si>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</si>
  <si>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</si>
  <si>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</si>
  <si>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</si>
  <si>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</si>
  <si>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</si>
  <si>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</si>
  <si>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</si>
  <si>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</si>
  <si>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</si>
  <si>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</si>
  <si>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</si>
  <si>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</si>
  <si>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</si>
  <si>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</si>
  <si>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</si>
  <si>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</si>
  <si>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</si>
  <si>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</si>
  <si>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</si>
  <si>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</si>
  <si>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</si>
  <si>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</si>
  <si>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</si>
  <si>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</si>
  <si>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</si>
  <si>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</si>
  <si>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</si>
  <si>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</si>
  <si>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</si>
  <si>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</si>
  <si>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</si>
  <si>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</si>
  <si>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</si>
  <si>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</si>
  <si>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</si>
  <si>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</si>
  <si>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</si>
  <si>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</si>
  <si>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</si>
  <si>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</si>
  <si>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</si>
  <si>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</si>
  <si>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</si>
  <si>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</si>
  <si>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</si>
  <si>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</si>
  <si>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</si>
  <si>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</si>
  <si>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</si>
  <si>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</si>
  <si>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</si>
  <si>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</si>
  <si>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</si>
  <si>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</si>
  <si>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</si>
  <si>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</si>
  <si>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</si>
  <si>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</si>
  <si>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</si>
  <si>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</si>
  <si>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</si>
  <si>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</si>
  <si>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</si>
  <si>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</si>
  <si>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</si>
  <si>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</si>
  <si>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</si>
  <si>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</si>
  <si>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</si>
  <si>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</si>
  <si>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</si>
  <si>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</si>
  <si>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</si>
  <si>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</si>
  <si>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</si>
  <si>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</si>
  <si>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</si>
  <si>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</si>
  <si>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</si>
  <si>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</si>
  <si>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</si>
  <si>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</si>
  <si>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</si>
  <si>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</si>
  <si>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</si>
  <si>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</si>
  <si>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</si>
  <si>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</si>
  <si>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</si>
  <si>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</si>
  <si>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</si>
  <si>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</si>
  <si>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</si>
  <si>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</si>
  <si>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</si>
  <si>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</si>
  <si>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</si>
  <si>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</si>
  <si>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</si>
  <si>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</si>
  <si>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</si>
  <si>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</si>
  <si>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</si>
  <si>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</si>
  <si>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</si>
  <si>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</si>
  <si>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</si>
  <si>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</si>
  <si>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</si>
  <si>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</si>
  <si>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</si>
  <si>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</si>
  <si>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</si>
  <si>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</si>
  <si>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</si>
  <si>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</si>
  <si>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</si>
  <si>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</si>
  <si>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</si>
  <si>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</si>
  <si>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</si>
  <si>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</si>
  <si>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</si>
  <si>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</si>
  <si>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</si>
  <si>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</si>
  <si>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</si>
  <si>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</si>
  <si>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</si>
  <si>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</si>
  <si>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</si>
  <si>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</si>
  <si>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</si>
  <si>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</si>
  <si>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</si>
  <si>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</si>
  <si>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</si>
  <si>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</si>
  <si>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</si>
  <si>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</si>
  <si>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</si>
  <si>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</si>
  <si>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</si>
  <si>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</si>
  <si>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</si>
  <si>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</si>
  <si>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</si>
  <si>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</si>
  <si>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</si>
  <si>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</si>
  <si>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</si>
  <si>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</si>
  <si>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</si>
  <si>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</si>
  <si>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</si>
  <si>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</si>
  <si>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</si>
  <si>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</si>
  <si>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</si>
  <si>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</si>
  <si>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</si>
  <si>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</si>
  <si>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</si>
  <si>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</si>
  <si>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</si>
  <si>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</si>
  <si>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</si>
  <si>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</si>
  <si>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</si>
  <si>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</si>
  <si>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</si>
  <si>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</si>
  <si>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</si>
  <si>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</si>
  <si>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</si>
  <si>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</si>
  <si>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</si>
  <si>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</si>
  <si>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</si>
  <si>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</si>
  <si>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</si>
  <si>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</si>
  <si>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</si>
  <si>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</si>
  <si>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</si>
  <si>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</si>
  <si>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</si>
  <si>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</si>
  <si>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</si>
  <si>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</si>
  <si>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</si>
  <si>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</si>
  <si>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</si>
  <si>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</si>
  <si>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</si>
  <si>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</si>
  <si>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</si>
  <si>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</si>
  <si>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</si>
  <si>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</si>
  <si>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</si>
  <si>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</si>
  <si>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</si>
  <si>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</si>
  <si>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</si>
  <si>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</si>
  <si>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</si>
  <si>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</si>
  <si>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</si>
  <si>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</si>
  <si>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</si>
  <si>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</si>
  <si>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</si>
  <si>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</si>
  <si>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</si>
  <si>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</si>
  <si>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</si>
  <si>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</si>
  <si>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</si>
  <si>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</si>
  <si>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</si>
  <si>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</si>
  <si>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</si>
  <si>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</si>
  <si>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</si>
  <si>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</si>
  <si>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</si>
  <si>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</si>
  <si>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</si>
  <si>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</si>
  <si>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</si>
  <si>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</si>
  <si>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</si>
  <si>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</si>
  <si>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</si>
  <si>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</si>
  <si>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</si>
  <si>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</si>
  <si>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</si>
  <si>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</si>
  <si>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</si>
  <si>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</si>
  <si>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</si>
  <si>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</si>
  <si>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</si>
  <si>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</si>
  <si>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</si>
  <si>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</si>
  <si>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</si>
  <si>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</si>
  <si>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</si>
  <si>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</si>
  <si>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</si>
  <si>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</si>
  <si>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</si>
  <si>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</si>
  <si>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</si>
  <si>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</si>
  <si>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</si>
  <si>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</si>
  <si>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</si>
  <si>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</si>
  <si>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</si>
  <si>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</si>
  <si>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</si>
  <si>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</si>
  <si>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</si>
  <si>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</si>
  <si>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</si>
  <si>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</si>
  <si>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</si>
  <si>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</si>
  <si>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</si>
  <si>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</si>
  <si>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</si>
  <si>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</si>
  <si>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</si>
  <si>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</si>
  <si>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</si>
  <si>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</si>
  <si>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</si>
  <si>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</si>
  <si>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</si>
  <si>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</si>
  <si>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</si>
  <si>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</si>
  <si>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</si>
  <si>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</si>
  <si>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</si>
  <si>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</si>
  <si>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</si>
  <si>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</si>
  <si>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</si>
  <si>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</si>
  <si>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</si>
  <si>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</si>
  <si>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</si>
  <si>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</si>
  <si>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</si>
  <si>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</si>
  <si>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</si>
  <si>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</si>
  <si>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</si>
  <si>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</si>
  <si>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</si>
  <si>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</si>
  <si>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</si>
  <si>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</si>
  <si>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</si>
  <si>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</si>
  <si>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</si>
  <si>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</si>
  <si>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</si>
  <si>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</si>
  <si>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</si>
  <si>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</si>
  <si>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</si>
  <si>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</si>
  <si>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</si>
  <si>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</si>
  <si>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</si>
  <si>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</si>
  <si>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</si>
  <si>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</si>
  <si>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</si>
  <si>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</si>
  <si>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</si>
  <si>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</si>
  <si>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</si>
  <si>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</si>
  <si>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</si>
  <si>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</si>
  <si>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</si>
  <si>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</si>
  <si>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</si>
  <si>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</si>
  <si>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</si>
  <si>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</si>
  <si>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</si>
  <si>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</si>
  <si>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</si>
  <si>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</si>
  <si>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</si>
  <si>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</si>
  <si>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</si>
  <si>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</si>
  <si>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</si>
  <si>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</si>
  <si>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</si>
  <si>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</si>
  <si>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</si>
  <si>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</si>
  <si>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</si>
  <si>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</si>
  <si>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</si>
  <si>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</si>
  <si>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</si>
  <si>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</si>
  <si>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</si>
  <si>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</si>
  <si>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</si>
  <si>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</si>
  <si>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</si>
  <si>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</si>
  <si>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</si>
  <si>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</si>
  <si>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</si>
  <si>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</si>
  <si>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</si>
  <si>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</si>
  <si>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</si>
  <si>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</si>
  <si>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</si>
  <si>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</si>
  <si>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</si>
  <si>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</si>
  <si>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</si>
  <si>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</si>
  <si>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</si>
  <si>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</si>
  <si>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</si>
  <si>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</si>
  <si>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</si>
  <si>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</si>
  <si>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</si>
  <si>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</si>
  <si>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</si>
  <si>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</si>
  <si>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</si>
  <si>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</si>
  <si>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</si>
  <si>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</si>
  <si>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</si>
  <si>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</si>
  <si>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</si>
  <si>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</si>
  <si>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</si>
  <si>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</si>
  <si>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</si>
  <si>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</si>
  <si>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</si>
  <si>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</si>
  <si>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</si>
  <si>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</si>
  <si>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</si>
  <si>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</si>
  <si>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</si>
  <si>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</si>
  <si>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</si>
  <si>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</si>
  <si>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</si>
  <si>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</si>
  <si>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</si>
  <si>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</si>
  <si>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</si>
  <si>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</si>
  <si>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</si>
  <si>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</si>
  <si>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</si>
  <si>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</si>
  <si>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</si>
  <si>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</si>
  <si>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</si>
  <si>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</si>
  <si>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</si>
  <si>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</si>
  <si>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</si>
  <si>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</si>
  <si>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</si>
  <si>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</si>
  <si>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</si>
  <si>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</si>
  <si>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</si>
  <si>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</si>
  <si>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</si>
  <si>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</si>
  <si>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</si>
  <si>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</si>
  <si>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</si>
  <si>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</si>
  <si>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</si>
  <si>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</si>
  <si>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</si>
  <si>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</si>
  <si>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</si>
  <si>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</si>
  <si>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</si>
  <si>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</si>
  <si>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</si>
  <si>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</si>
  <si>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</si>
  <si>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</si>
  <si>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</si>
  <si>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</si>
  <si>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</si>
  <si>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</si>
  <si>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</si>
  <si>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</si>
  <si>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</si>
  <si>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</si>
  <si>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</si>
  <si>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</si>
  <si>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</si>
  <si>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</si>
  <si>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</si>
  <si>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</si>
  <si>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</si>
  <si>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</si>
  <si>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</si>
  <si>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</si>
  <si>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</si>
  <si>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</si>
  <si>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</si>
  <si>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</si>
  <si>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</si>
  <si>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</si>
  <si>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</si>
  <si>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</si>
  <si>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</si>
  <si>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</si>
  <si>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</si>
  <si>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</si>
  <si>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</si>
  <si>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</si>
  <si>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</si>
  <si>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</si>
  <si>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</si>
  <si>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</si>
  <si>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</si>
  <si>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</si>
  <si>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</si>
  <si>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</si>
  <si>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</si>
  <si>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</si>
  <si>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</si>
  <si>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</si>
  <si>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</si>
  <si>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</si>
  <si>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</si>
  <si>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</si>
  <si>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</si>
  <si>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</si>
  <si>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</si>
  <si>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</si>
  <si>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</si>
  <si>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</si>
  <si>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</si>
  <si>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</si>
  <si>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</si>
  <si>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</si>
  <si>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</si>
  <si>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</si>
  <si>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</si>
  <si>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</si>
  <si>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</si>
  <si>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</si>
  <si>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</si>
  <si>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</si>
  <si>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</si>
  <si>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</si>
  <si>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</si>
  <si>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</si>
  <si>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</si>
  <si>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</si>
  <si>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</si>
  <si>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</si>
  <si>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</si>
  <si>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</si>
  <si>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</si>
  <si>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</si>
  <si>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</si>
  <si>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</si>
  <si>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</si>
  <si>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</si>
  <si>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</si>
  <si>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</si>
  <si>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</si>
  <si>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</si>
  <si>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</si>
  <si>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</si>
  <si>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</si>
  <si>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</si>
  <si>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</si>
  <si>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</si>
  <si>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</si>
  <si>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</si>
  <si>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</si>
  <si>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</si>
  <si>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</si>
  <si>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</si>
  <si>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</si>
  <si>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</si>
  <si>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</si>
  <si>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</si>
  <si>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</si>
  <si>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</si>
  <si>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</si>
  <si>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</si>
  <si>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</si>
  <si>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</si>
  <si>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</si>
  <si>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</si>
  <si>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</si>
  <si>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</si>
  <si>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</si>
  <si>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</si>
  <si>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</si>
  <si>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</si>
  <si>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</si>
  <si>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</si>
  <si>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</si>
  <si>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</si>
  <si>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</si>
  <si>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</si>
  <si>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</si>
  <si>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</si>
  <si>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</si>
  <si>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</si>
  <si>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</si>
  <si>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</si>
  <si>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</si>
  <si>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</si>
  <si>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</si>
  <si>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</si>
  <si>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</si>
  <si>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</si>
  <si>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</si>
  <si>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</si>
  <si>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</si>
  <si>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</si>
  <si>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</si>
  <si>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</si>
  <si>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</si>
  <si>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</si>
  <si>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</si>
  <si>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</si>
  <si>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</si>
  <si>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</si>
  <si>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</si>
  <si>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</si>
  <si>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</si>
  <si>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</si>
  <si>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</si>
  <si>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</si>
  <si>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</si>
  <si>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</si>
  <si>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</si>
  <si>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</si>
  <si>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</si>
  <si>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</si>
  <si>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</si>
  <si>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</si>
  <si>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</si>
  <si>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</si>
  <si>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</si>
  <si>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</si>
  <si>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</si>
  <si>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</si>
  <si>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</si>
  <si>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</si>
  <si>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</si>
  <si>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</si>
  <si>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</si>
  <si>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</si>
  <si>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</si>
  <si>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</si>
  <si>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</si>
  <si>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</si>
  <si>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</si>
  <si>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</si>
  <si>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</si>
  <si>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</si>
  <si>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</si>
  <si>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</si>
  <si>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</si>
  <si>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</si>
  <si>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</si>
  <si>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</si>
  <si>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</si>
  <si>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</si>
  <si>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</si>
  <si>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</si>
  <si>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</si>
  <si>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</si>
  <si>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</si>
  <si>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</si>
  <si>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</si>
  <si>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</si>
  <si>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</si>
  <si>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</si>
  <si>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</si>
  <si>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</si>
  <si>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</si>
  <si>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</si>
  <si>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</si>
  <si>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</si>
  <si>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</si>
  <si>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</si>
  <si>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</si>
  <si>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</si>
  <si>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</si>
  <si>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</si>
  <si>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</si>
  <si>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</si>
  <si>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</si>
  <si>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</si>
  <si>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</si>
  <si>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</si>
  <si>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</si>
  <si>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</si>
  <si>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</si>
  <si>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</si>
  <si>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</si>
  <si>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</si>
  <si>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</si>
  <si>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</si>
  <si>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</si>
  <si>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</si>
  <si>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</si>
  <si>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</si>
  <si>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</si>
  <si>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</si>
  <si>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</si>
  <si>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</si>
  <si>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</si>
  <si>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</si>
  <si>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</si>
  <si>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</si>
  <si>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</si>
  <si>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</si>
  <si>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</si>
  <si>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</si>
  <si>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</si>
  <si>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</si>
  <si>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</si>
  <si>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</si>
  <si>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</si>
  <si>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</si>
  <si>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</si>
  <si>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</si>
  <si>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</si>
  <si>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</si>
  <si>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</si>
  <si>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</si>
  <si>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</si>
  <si>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</si>
  <si>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</si>
  <si>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</si>
  <si>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</si>
  <si>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</si>
  <si>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</si>
  <si>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</si>
  <si>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</si>
  <si>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</si>
  <si>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</si>
  <si>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</si>
  <si>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</si>
  <si>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</si>
  <si>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</si>
  <si>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</si>
  <si>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</si>
  <si>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</si>
  <si>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</si>
  <si>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</si>
  <si>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</si>
  <si>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</si>
  <si>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</si>
  <si>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</si>
  <si>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</si>
  <si>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</si>
  <si>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</si>
  <si>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</si>
  <si>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</si>
  <si>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</si>
  <si>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</si>
  <si>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</si>
  <si>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</si>
  <si>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</si>
  <si>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</si>
  <si>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</si>
  <si>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</si>
  <si>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</si>
  <si>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</si>
  <si>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</si>
  <si>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</si>
  <si>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</si>
  <si>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</si>
  <si>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</si>
  <si>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</si>
  <si>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</si>
  <si>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</si>
  <si>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</si>
  <si>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</si>
  <si>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</si>
  <si>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</si>
  <si>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</si>
  <si>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</si>
  <si>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</si>
  <si>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</si>
  <si>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</si>
  <si>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</si>
  <si>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</si>
  <si>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</si>
  <si>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</si>
  <si>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</si>
  <si>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</si>
  <si>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</si>
  <si>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</si>
  <si>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</si>
  <si>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</si>
  <si>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</si>
  <si>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</si>
  <si>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</si>
  <si>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</si>
  <si>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</si>
  <si>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</si>
  <si>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</si>
  <si>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</si>
  <si>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</si>
  <si>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</si>
  <si>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</si>
  <si>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</si>
  <si>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</si>
  <si>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</si>
  <si>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</si>
  <si>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</si>
  <si>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</si>
  <si>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</si>
  <si>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</si>
  <si>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</si>
  <si>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</si>
  <si>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</si>
  <si>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</si>
  <si>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</si>
  <si>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</si>
  <si>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</si>
  <si>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</si>
  <si>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</si>
  <si>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</si>
  <si>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</si>
  <si>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</si>
  <si>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</si>
  <si>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</si>
  <si>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</si>
  <si>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</si>
  <si>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</si>
  <si>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</si>
  <si>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</si>
  <si>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</si>
  <si>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</si>
  <si>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</si>
  <si>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</si>
  <si>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</si>
  <si>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</si>
  <si>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</si>
  <si>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</si>
  <si>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</si>
  <si>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</si>
  <si>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</si>
  <si>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</si>
  <si>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</si>
  <si>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</si>
  <si>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</si>
  <si>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</si>
  <si>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</si>
  <si>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</si>
  <si>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</si>
  <si>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</si>
  <si>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</si>
  <si>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</si>
  <si>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</si>
  <si>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</si>
  <si>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</si>
  <si>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</si>
  <si>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</si>
  <si>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</si>
  <si>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</si>
  <si>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</si>
  <si>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</si>
  <si>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</si>
  <si>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</si>
  <si>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</si>
  <si>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</si>
  <si>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</si>
  <si>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</si>
  <si>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</si>
  <si>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</si>
  <si>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</si>
  <si>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</si>
  <si>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</si>
  <si>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</si>
  <si>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</si>
  <si>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</si>
  <si>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</si>
  <si>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</si>
  <si>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</si>
  <si>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</si>
  <si>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</si>
  <si>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</si>
  <si>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</si>
  <si>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</si>
  <si>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</si>
  <si>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</si>
  <si>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</si>
  <si>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</si>
  <si>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</si>
  <si>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</si>
  <si>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</si>
  <si>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</si>
  <si>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</si>
  <si>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</si>
  <si>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</si>
  <si>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</si>
  <si>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</si>
  <si>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</si>
  <si>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</si>
  <si>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</si>
  <si>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</si>
  <si>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</si>
  <si>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</si>
  <si>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</si>
  <si>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</si>
  <si>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</si>
  <si>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</si>
  <si>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</si>
  <si>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</si>
  <si>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</si>
  <si>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</si>
  <si>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</si>
  <si>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</si>
  <si>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</si>
  <si>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</si>
  <si>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</si>
  <si>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</si>
  <si>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</si>
  <si>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</si>
  <si>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</si>
  <si>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</si>
  <si>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</si>
  <si>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</si>
  <si>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</si>
  <si>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</si>
  <si>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</si>
  <si>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</si>
  <si>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</si>
  <si>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</si>
  <si>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</si>
  <si>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</si>
  <si>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</si>
  <si>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</si>
  <si>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</si>
  <si>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</si>
  <si>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</si>
  <si>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</si>
  <si>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</si>
  <si>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</si>
  <si>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</si>
  <si>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</si>
  <si>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</si>
  <si>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</si>
  <si>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</si>
  <si>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</si>
  <si>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</si>
  <si>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</si>
  <si>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</si>
  <si>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</si>
  <si>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</si>
  <si>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</si>
  <si>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</si>
  <si>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</si>
  <si>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</si>
  <si>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</si>
  <si>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</si>
  <si>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</si>
  <si>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</si>
  <si>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</si>
  <si>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</si>
  <si>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</si>
  <si>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</si>
  <si>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</si>
  <si>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</si>
  <si>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</si>
  <si>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</si>
  <si>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</si>
  <si>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</si>
  <si>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</si>
  <si>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</si>
  <si>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</si>
  <si>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</si>
  <si>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</si>
  <si>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</si>
  <si>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</si>
  <si>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</si>
  <si>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</si>
  <si>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</si>
  <si>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</si>
  <si>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</si>
  <si>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</si>
  <si>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</si>
  <si>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</si>
  <si>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</si>
  <si>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</si>
  <si>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</si>
  <si>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</si>
  <si>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</si>
  <si>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</si>
  <si>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</si>
  <si>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</si>
  <si>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</si>
  <si>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</si>
  <si>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</si>
  <si>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</si>
  <si>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</si>
  <si>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</si>
  <si>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</si>
  <si>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</si>
  <si>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</si>
  <si>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</si>
  <si>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</si>
  <si>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</si>
  <si>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</si>
  <si>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</si>
  <si>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</si>
  <si>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</si>
  <si>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</si>
  <si>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</si>
  <si>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</si>
  <si>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</si>
  <si>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</si>
  <si>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</si>
  <si>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</si>
  <si>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</si>
  <si>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</si>
  <si>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</si>
  <si>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</si>
  <si>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</si>
  <si>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</si>
  <si>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</si>
  <si>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</si>
  <si>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</si>
  <si>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</si>
  <si>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</si>
  <si>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</si>
  <si>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</si>
  <si>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</si>
  <si>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</si>
  <si>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</si>
  <si>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</si>
  <si>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</si>
  <si>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</si>
  <si>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</si>
  <si>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</si>
  <si>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</si>
  <si>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</si>
  <si>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</si>
  <si>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</si>
  <si>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</si>
  <si>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</si>
  <si>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</si>
  <si>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</si>
  <si>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</si>
  <si>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</si>
  <si>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</si>
  <si>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</si>
  <si>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</si>
  <si>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</si>
  <si>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</si>
  <si>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</si>
  <si>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</si>
  <si>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</si>
  <si>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</si>
  <si>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</si>
  <si>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</si>
  <si>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</si>
  <si>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</si>
  <si>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</si>
  <si>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</si>
  <si>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</si>
  <si>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</si>
  <si>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</si>
  <si>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</si>
  <si>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</si>
  <si>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</si>
  <si>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</si>
  <si>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</si>
  <si>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</si>
  <si>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</si>
  <si>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</si>
  <si>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</si>
  <si>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</si>
  <si>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</si>
  <si>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</si>
  <si>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</si>
  <si>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</si>
  <si>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</si>
  <si>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</si>
  <si>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</si>
  <si>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</si>
  <si>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</si>
  <si>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</si>
  <si>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</si>
  <si>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</si>
  <si>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</si>
  <si>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</si>
  <si>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</si>
  <si>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</si>
  <si>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</si>
  <si>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</si>
  <si>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</si>
  <si>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</si>
  <si>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</si>
  <si>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</si>
  <si>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</si>
  <si>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</si>
  <si>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</si>
  <si>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</si>
  <si>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</si>
  <si>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</si>
  <si>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</si>
  <si>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</si>
  <si>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</si>
  <si>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</si>
  <si>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</si>
  <si>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</si>
  <si>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</si>
  <si>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</si>
  <si>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</si>
  <si>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</si>
  <si>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</si>
  <si>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</si>
  <si>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</si>
  <si>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</si>
  <si>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</si>
  <si>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</si>
  <si>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</si>
  <si>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</si>
  <si>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</si>
  <si>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</si>
  <si>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</si>
  <si>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</si>
  <si>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</si>
  <si>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</si>
  <si>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</si>
  <si>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</si>
  <si>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</si>
  <si>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</si>
  <si>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</si>
  <si>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</si>
  <si>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</si>
  <si>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</si>
  <si>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</si>
  <si>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</si>
  <si>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</si>
  <si>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</si>
  <si>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</si>
  <si>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</si>
  <si>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</si>
  <si>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</si>
  <si>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</si>
  <si>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</si>
  <si>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</si>
  <si>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</si>
  <si>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</si>
  <si>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</si>
  <si>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</si>
  <si>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</si>
  <si>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</si>
  <si>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</si>
  <si>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</si>
  <si>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</si>
  <si>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</si>
  <si>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</si>
  <si>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</si>
  <si>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</si>
  <si>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</si>
  <si>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</si>
  <si>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</si>
  <si>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</si>
  <si>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</si>
  <si>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</si>
  <si>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</si>
  <si>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</si>
  <si>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</si>
  <si>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</si>
  <si>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</si>
  <si>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</si>
  <si>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</si>
  <si>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</si>
  <si>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</si>
  <si>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</si>
  <si>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</si>
  <si>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</si>
  <si>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</si>
  <si>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</si>
  <si>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</si>
  <si>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</si>
  <si>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</si>
  <si>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</si>
  <si>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</si>
  <si>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</si>
  <si>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</si>
  <si>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</si>
  <si>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</si>
  <si>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</si>
  <si>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</si>
  <si>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</si>
  <si>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</si>
  <si>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</si>
  <si>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</si>
  <si>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</si>
  <si>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</si>
  <si>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</si>
  <si>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</si>
  <si>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</si>
  <si>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</si>
  <si>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</si>
  <si>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</si>
  <si>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</si>
  <si>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</si>
  <si>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</si>
  <si>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</si>
  <si>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</si>
  <si>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</si>
  <si>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</si>
  <si>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</si>
  <si>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</si>
  <si>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</si>
  <si>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</si>
  <si>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</si>
  <si>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</si>
  <si>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</si>
  <si>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</si>
  <si>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</si>
  <si>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</si>
  <si>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</si>
  <si>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</si>
  <si>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</si>
  <si>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</si>
  <si>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</si>
  <si>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</si>
  <si>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</si>
  <si>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</si>
  <si>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</si>
  <si>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</si>
  <si>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</si>
  <si>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</si>
  <si>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</si>
  <si>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</si>
  <si>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</si>
  <si>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</si>
  <si>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</si>
  <si>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</si>
  <si>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</si>
  <si>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</si>
  <si>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</si>
  <si>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</si>
  <si>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</si>
  <si>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</si>
  <si>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</si>
  <si>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</si>
  <si>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</si>
  <si>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</si>
  <si>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</si>
  <si>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</si>
  <si>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</si>
  <si>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</si>
  <si>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</si>
  <si>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</si>
  <si>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</si>
  <si>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</si>
  <si>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</si>
  <si>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</si>
  <si>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</si>
  <si>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</si>
  <si>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</si>
  <si>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</si>
  <si>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</si>
  <si>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</si>
  <si>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</si>
  <si>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</si>
  <si>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</si>
  <si>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</si>
  <si>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</si>
  <si>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</si>
  <si>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</si>
  <si>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</si>
  <si>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</si>
  <si>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</si>
  <si>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</si>
  <si>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</si>
  <si>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</si>
  <si>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</si>
  <si>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</si>
  <si>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</si>
  <si>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</si>
  <si>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</si>
  <si>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</si>
  <si>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</si>
  <si>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</si>
  <si>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</si>
  <si>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</si>
  <si>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</si>
  <si>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</si>
  <si>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</si>
  <si>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</si>
  <si>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</si>
  <si>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</si>
  <si>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</si>
  <si>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</si>
  <si>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</si>
  <si>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</si>
  <si>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</si>
  <si>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</si>
  <si>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</si>
  <si>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</si>
  <si>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</si>
  <si>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</si>
  <si>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</si>
  <si>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</si>
  <si>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</si>
  <si>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</si>
  <si>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</si>
  <si>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</si>
  <si>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</si>
  <si>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</si>
  <si>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</si>
  <si>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</si>
  <si>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</si>
  <si>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</si>
  <si>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</si>
  <si>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</si>
  <si>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</si>
  <si>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</si>
  <si>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</si>
  <si>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</si>
  <si>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</si>
  <si>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</si>
  <si>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</si>
  <si>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</si>
  <si>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</si>
  <si>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</si>
  <si>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</si>
  <si>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</si>
  <si>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</si>
  <si>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</si>
  <si>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</si>
  <si>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</si>
  <si>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</si>
  <si>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</si>
  <si>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</si>
  <si>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</si>
  <si>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</si>
  <si>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</si>
  <si>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</si>
  <si>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</si>
  <si>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</si>
  <si>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</si>
  <si>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</si>
  <si>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</si>
  <si>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</si>
  <si>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</si>
  <si>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</si>
  <si>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</si>
  <si>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</si>
  <si>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</si>
  <si>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</si>
  <si>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</si>
  <si>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</si>
  <si>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</si>
  <si>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</si>
  <si>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</si>
  <si>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</si>
  <si>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</si>
  <si>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</si>
  <si>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</si>
  <si>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</si>
  <si>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</si>
  <si>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</si>
  <si>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</si>
  <si>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</si>
  <si>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</si>
  <si>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</si>
  <si>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</si>
  <si>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</si>
  <si>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</si>
  <si>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</si>
  <si>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</si>
  <si>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</si>
  <si>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</si>
  <si>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</si>
  <si>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</si>
  <si>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</si>
  <si>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</si>
  <si>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</si>
  <si>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</si>
  <si>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</si>
  <si>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</si>
  <si>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</si>
  <si>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</si>
  <si>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</si>
  <si>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</si>
  <si>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</si>
  <si>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</si>
  <si>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</si>
  <si>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</si>
  <si>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</si>
  <si>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</si>
  <si>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</si>
  <si>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</si>
  <si>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</si>
  <si>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</si>
  <si>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</si>
  <si>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</si>
  <si>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</si>
  <si>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</si>
  <si>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</si>
  <si>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</si>
  <si>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</si>
  <si>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</si>
  <si>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</si>
  <si>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</si>
  <si>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</si>
  <si>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</si>
  <si>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</si>
  <si>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</si>
  <si>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</si>
  <si>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</si>
  <si>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</si>
  <si>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</si>
  <si>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</si>
  <si>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</si>
  <si>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</si>
  <si>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</si>
  <si>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</si>
  <si>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</si>
  <si>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</si>
  <si>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</si>
  <si>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</si>
  <si>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</si>
  <si>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</si>
  <si>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</si>
  <si>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</si>
  <si>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</si>
  <si>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</si>
  <si>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</si>
  <si>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</si>
  <si>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</si>
  <si>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</si>
  <si>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</si>
  <si>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</si>
  <si>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</si>
  <si>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</si>
  <si>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</si>
  <si>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</si>
  <si>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</si>
  <si>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</si>
  <si>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</si>
  <si>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</si>
  <si>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</si>
  <si>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</si>
  <si>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</si>
  <si>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</si>
  <si>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</si>
  <si>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</si>
  <si>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</si>
  <si>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</si>
  <si>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</si>
  <si>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</si>
  <si>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</si>
  <si>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</si>
  <si>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</si>
  <si>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</si>
  <si>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</si>
  <si>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</si>
  <si>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</si>
  <si>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</si>
  <si>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</si>
  <si>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</si>
  <si>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</si>
  <si>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</si>
  <si>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</si>
  <si>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</si>
  <si>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</si>
  <si>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</si>
  <si>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</si>
  <si>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</si>
  <si>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</si>
  <si>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</si>
  <si>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</si>
  <si>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</si>
  <si>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</si>
  <si>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</si>
  <si>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</si>
  <si>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</si>
  <si>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</si>
  <si>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</si>
  <si>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</si>
  <si>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</si>
  <si>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</si>
  <si>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</si>
  <si>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</si>
  <si>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</si>
  <si>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</si>
  <si>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</si>
  <si>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</si>
  <si>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</si>
  <si>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</si>
  <si>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</si>
  <si>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</si>
  <si>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</si>
  <si>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</si>
  <si>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</si>
  <si>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</si>
  <si>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</si>
  <si>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</si>
  <si>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</si>
  <si>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</si>
  <si>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</si>
  <si>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</si>
  <si>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</si>
  <si>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</si>
  <si>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</si>
  <si>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</si>
  <si>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</si>
  <si>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</si>
  <si>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</si>
  <si>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</si>
  <si>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</si>
  <si>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</si>
  <si>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</si>
  <si>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</si>
  <si>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</si>
  <si>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</si>
  <si>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</si>
  <si>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</si>
  <si>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</si>
  <si>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</si>
  <si>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</si>
  <si>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</si>
  <si>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</si>
  <si>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</si>
  <si>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</si>
  <si>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</si>
  <si>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</si>
  <si>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</si>
  <si>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</si>
  <si>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</si>
  <si>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</si>
  <si>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</si>
  <si>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</si>
  <si>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</si>
  <si>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</si>
  <si>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</si>
  <si>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</si>
  <si>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</si>
  <si>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</si>
  <si>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</si>
  <si>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</si>
  <si>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</si>
  <si>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</si>
  <si>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</si>
  <si>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</si>
  <si>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</si>
  <si>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</si>
  <si>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</si>
  <si>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</si>
  <si>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</si>
  <si>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</si>
  <si>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</si>
  <si>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</si>
  <si>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</si>
  <si>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</si>
  <si>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</si>
  <si>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</si>
  <si>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</si>
  <si>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</si>
  <si>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</si>
  <si>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</si>
  <si>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</si>
  <si>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</si>
  <si>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</si>
  <si>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</si>
  <si>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</si>
  <si>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</si>
  <si>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</si>
  <si>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</si>
  <si>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</si>
  <si>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</si>
  <si>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</si>
  <si>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</si>
  <si>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</si>
  <si>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</si>
  <si>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</si>
  <si>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</si>
  <si>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</si>
  <si>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</si>
  <si>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</si>
  <si>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</si>
  <si>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</si>
  <si>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</si>
  <si>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</si>
  <si>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</si>
  <si>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</si>
  <si>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</si>
  <si>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</si>
  <si>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</si>
  <si>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</si>
  <si>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</si>
  <si>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</si>
  <si>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</si>
  <si>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</si>
  <si>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</si>
  <si>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</si>
  <si>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</si>
  <si>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</si>
  <si>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</si>
  <si>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</si>
  <si>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</si>
  <si>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</si>
  <si>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</si>
  <si>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</si>
  <si>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</si>
  <si>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</si>
  <si>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</si>
  <si>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</si>
  <si>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</si>
  <si>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</si>
  <si>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</si>
  <si>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</si>
  <si>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</si>
  <si>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</si>
  <si>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</si>
  <si>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</si>
  <si>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</si>
  <si>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</si>
  <si>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</si>
  <si>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</si>
  <si>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</si>
  <si>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</si>
  <si>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</si>
  <si>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</si>
  <si>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</si>
  <si>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</si>
  <si>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</si>
  <si>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</si>
  <si>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</si>
  <si>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</si>
  <si>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</si>
  <si>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</si>
  <si>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</si>
  <si>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</si>
  <si>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</si>
  <si>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</si>
  <si>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</si>
  <si>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</si>
  <si>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</si>
  <si>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</si>
  <si>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</si>
  <si>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</si>
  <si>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</si>
  <si>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</si>
  <si>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</si>
  <si>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</si>
  <si>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</si>
  <si>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</si>
  <si>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</si>
  <si>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</si>
  <si>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</si>
  <si>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</si>
  <si>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</si>
  <si>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</si>
  <si>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</si>
  <si>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</si>
  <si>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</si>
  <si>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</si>
  <si>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</si>
  <si>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</si>
  <si>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</si>
  <si>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</si>
  <si>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</si>
  <si>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</si>
  <si>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</si>
  <si>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</si>
  <si>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</si>
  <si>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</si>
  <si>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</si>
  <si>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</si>
  <si>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</si>
  <si>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</si>
  <si>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</si>
  <si>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</si>
  <si>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</si>
  <si>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</si>
  <si>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</si>
  <si>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</si>
  <si>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</si>
  <si>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</si>
  <si>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</si>
  <si>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</si>
  <si>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</si>
  <si>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</si>
  <si>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</si>
  <si>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</si>
  <si>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</si>
  <si>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</si>
  <si>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</si>
  <si>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</si>
  <si>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</si>
  <si>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</si>
  <si>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</si>
  <si>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</si>
  <si>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</si>
  <si>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</si>
  <si>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</si>
  <si>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</si>
  <si>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</si>
  <si>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</si>
  <si>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</si>
  <si>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</si>
  <si>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</si>
  <si>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</si>
  <si>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</si>
  <si>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</si>
  <si>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</si>
  <si>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</si>
  <si>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</si>
  <si>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</si>
  <si>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</si>
  <si>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</si>
  <si>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</si>
  <si>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</si>
  <si>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</si>
  <si>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</si>
  <si>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</si>
  <si>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</si>
  <si>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</si>
  <si>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</si>
  <si>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</si>
  <si>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</si>
  <si>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</si>
  <si>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</si>
  <si>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</si>
  <si>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</si>
  <si>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</si>
  <si>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</si>
  <si>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</si>
  <si>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</si>
  <si>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</si>
  <si>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</si>
  <si>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</si>
  <si>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</si>
  <si>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</si>
  <si>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</si>
  <si>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</si>
  <si>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</si>
  <si>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</si>
  <si>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</si>
  <si>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</si>
  <si>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</si>
  <si>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</si>
  <si>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</si>
  <si>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</si>
  <si>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</si>
  <si>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</si>
  <si>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</si>
  <si>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</si>
  <si>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</si>
  <si>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</si>
  <si>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</si>
  <si>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</si>
  <si>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</si>
  <si>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</si>
  <si>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</si>
  <si>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</si>
  <si>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</si>
  <si>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</si>
  <si>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</si>
  <si>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</si>
  <si>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</si>
  <si>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</si>
  <si>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</si>
  <si>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</si>
  <si>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</si>
  <si>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</si>
  <si>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</si>
  <si>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</si>
  <si>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</si>
  <si>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</si>
  <si>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</si>
  <si>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</si>
  <si>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</si>
  <si>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</si>
  <si>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</si>
  <si>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</si>
  <si>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</si>
  <si>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</si>
  <si>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</si>
  <si>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</si>
  <si>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</si>
  <si>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</si>
  <si>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</si>
  <si>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</si>
  <si>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</si>
  <si>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</si>
  <si>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</si>
  <si>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</si>
  <si>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</si>
  <si>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</si>
  <si>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</si>
  <si>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</si>
  <si>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</si>
  <si>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</si>
  <si>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</si>
  <si>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</si>
  <si>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</si>
  <si>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</si>
  <si>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</si>
  <si>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</si>
  <si>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</si>
  <si>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</si>
  <si>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</si>
  <si>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</si>
  <si>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</si>
  <si>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</si>
  <si>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</si>
  <si>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</si>
  <si>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</si>
  <si>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</si>
  <si>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</si>
  <si>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</si>
  <si>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</si>
  <si>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</si>
  <si>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</si>
  <si>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</si>
  <si>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</si>
  <si>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</si>
  <si>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</si>
  <si>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</si>
  <si>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</si>
  <si>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</si>
  <si>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</si>
  <si>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</si>
  <si>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</si>
  <si>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</si>
  <si>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</si>
  <si>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</si>
  <si>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</si>
  <si>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</si>
  <si>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</si>
  <si>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</si>
  <si>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</si>
  <si>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</si>
  <si>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</si>
  <si>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</si>
  <si>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</si>
  <si>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</si>
  <si>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</si>
  <si>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</si>
  <si>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</si>
  <si>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</si>
  <si>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</si>
  <si>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</si>
  <si>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</si>
  <si>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</si>
  <si>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</si>
  <si>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</si>
  <si>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</si>
  <si>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</si>
  <si>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</si>
  <si>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</si>
  <si>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</si>
  <si>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</si>
  <si>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</si>
  <si>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</si>
  <si>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</si>
  <si>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</si>
  <si>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</si>
  <si>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</si>
  <si>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</si>
  <si>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</si>
  <si>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</si>
  <si>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</si>
  <si>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</si>
  <si>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</si>
  <si>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</si>
  <si>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</si>
  <si>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</si>
  <si>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</si>
  <si>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</si>
  <si>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</si>
  <si>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</si>
  <si>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</si>
  <si>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</si>
  <si>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</si>
  <si>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</si>
  <si>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</si>
  <si>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</si>
  <si>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</si>
  <si>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</si>
  <si>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</si>
  <si>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</si>
  <si>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</si>
  <si>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</si>
  <si>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</si>
  <si>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</si>
  <si>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</si>
  <si>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</si>
  <si>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</si>
  <si>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</si>
  <si>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</si>
  <si>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</si>
  <si>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</si>
  <si>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</si>
  <si>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</si>
  <si>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</si>
  <si>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</si>
  <si>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</si>
  <si>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</si>
  <si>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</si>
  <si>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</si>
  <si>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</si>
  <si>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</si>
  <si>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</si>
  <si>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</si>
  <si>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</si>
  <si>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</si>
  <si>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</si>
  <si>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</si>
  <si>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</si>
  <si>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</si>
  <si>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</si>
  <si>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</si>
  <si>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</si>
  <si>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</si>
  <si>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</si>
  <si>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</si>
  <si>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</si>
  <si>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</si>
  <si>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</si>
  <si>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</si>
  <si>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</si>
  <si>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</si>
  <si>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</si>
  <si>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</si>
  <si>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</si>
  <si>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</si>
  <si>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</si>
  <si>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</si>
  <si>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</si>
  <si>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</si>
  <si>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</si>
  <si>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</si>
  <si>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</si>
  <si>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</si>
  <si>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</si>
  <si>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</si>
  <si>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</si>
  <si>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</si>
  <si>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</si>
  <si>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</si>
  <si>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</si>
  <si>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</si>
  <si>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</si>
  <si>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</si>
  <si>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</si>
  <si>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</si>
  <si>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</si>
  <si>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</si>
  <si>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</si>
  <si>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</si>
  <si>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</si>
  <si>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</si>
  <si>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</si>
  <si>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</si>
  <si>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</si>
  <si>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</si>
  <si>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</si>
  <si>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</si>
  <si>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</si>
  <si>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</si>
  <si>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</si>
  <si>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</si>
  <si>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</si>
  <si>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</si>
  <si>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</si>
  <si>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</si>
  <si>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</si>
  <si>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</si>
  <si>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</si>
  <si>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</si>
  <si>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</si>
  <si>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</si>
  <si>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</si>
  <si>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</si>
  <si>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</si>
  <si>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</si>
  <si>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</si>
  <si>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</si>
  <si>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</si>
  <si>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</si>
  <si>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</si>
  <si>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</si>
  <si>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</si>
  <si>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</si>
  <si>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</si>
  <si>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</si>
  <si>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</si>
  <si>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</si>
  <si>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</si>
  <si>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</si>
  <si>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</si>
  <si>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</si>
  <si>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</si>
  <si>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</si>
  <si>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</si>
  <si>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</si>
  <si>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</si>
  <si>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</si>
  <si>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</si>
  <si>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</si>
  <si>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</si>
  <si>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</si>
  <si>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</si>
  <si>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</si>
  <si>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</si>
  <si>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</si>
  <si>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</si>
  <si>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</si>
  <si>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</si>
  <si>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</si>
  <si>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</si>
  <si>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</si>
  <si>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</si>
  <si>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</si>
  <si>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</si>
  <si>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</si>
  <si>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</si>
  <si>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</si>
  <si>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</si>
  <si>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</si>
  <si>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</si>
  <si>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</si>
  <si>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</si>
  <si>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</si>
  <si>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</si>
  <si>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</si>
  <si>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</si>
  <si>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</si>
  <si>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</si>
  <si>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</si>
  <si>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</si>
  <si>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</si>
  <si>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</si>
  <si>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</si>
  <si>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</si>
  <si>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</si>
  <si>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</si>
  <si>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</si>
  <si>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</si>
  <si>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</si>
  <si>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</si>
  <si>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</si>
  <si>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</si>
  <si>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</si>
  <si>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</si>
  <si>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</si>
  <si>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</si>
  <si>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</si>
  <si>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</si>
  <si>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</si>
  <si>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</si>
  <si>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</si>
  <si>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</si>
  <si>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</si>
  <si>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</si>
  <si>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</si>
  <si>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</si>
  <si>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</si>
  <si>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</si>
  <si>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</si>
  <si>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</si>
  <si>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</si>
  <si>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</si>
  <si>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</si>
  <si>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</si>
  <si>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</si>
  <si>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</si>
  <si>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</si>
  <si>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</si>
  <si>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</si>
  <si>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</si>
  <si>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</si>
  <si>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</si>
  <si>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</si>
  <si>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</si>
  <si>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</si>
  <si>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</si>
  <si>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</si>
  <si>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</si>
  <si>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</si>
  <si>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</si>
  <si>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</si>
  <si>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</si>
  <si>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</si>
  <si>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</si>
  <si>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</si>
  <si>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</si>
  <si>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</si>
  <si>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</si>
  <si>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</si>
  <si>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</si>
  <si>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</si>
  <si>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</si>
  <si>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</si>
  <si>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</si>
  <si>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</si>
  <si>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</si>
  <si>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</si>
  <si>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</si>
  <si>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</si>
  <si>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</si>
  <si>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</si>
  <si>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</si>
  <si>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</si>
  <si>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</si>
  <si>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</si>
  <si>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</si>
  <si>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</si>
  <si>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</si>
  <si>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</si>
  <si>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</si>
  <si>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</si>
  <si>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</si>
  <si>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</si>
  <si>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</si>
  <si>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</si>
  <si>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</si>
  <si>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</si>
  <si>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</si>
  <si>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</si>
  <si>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</si>
  <si>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</si>
  <si>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</si>
  <si>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</si>
  <si>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</si>
  <si>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</si>
  <si>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</si>
  <si>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</si>
  <si>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</si>
  <si>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</si>
  <si>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</si>
  <si>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</si>
  <si>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</si>
  <si>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</si>
  <si>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</si>
  <si>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</si>
  <si>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</si>
  <si>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</si>
  <si>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</si>
  <si>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</si>
  <si>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</si>
  <si>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</si>
  <si>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</si>
  <si>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</si>
  <si>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</si>
  <si>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</si>
  <si>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</si>
  <si>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</si>
  <si>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</si>
  <si>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</si>
  <si>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</si>
  <si>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</si>
  <si>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</si>
  <si>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</si>
  <si>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</si>
  <si>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</si>
  <si>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</si>
  <si>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</si>
  <si>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</si>
  <si>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</si>
  <si>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</si>
  <si>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</si>
  <si>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</si>
  <si>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</si>
  <si>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</si>
  <si>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</si>
  <si>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</si>
  <si>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</si>
  <si>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</si>
  <si>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</si>
  <si>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</si>
  <si>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</si>
  <si>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</si>
  <si>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</si>
  <si>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</si>
  <si>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</si>
  <si>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</si>
  <si>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</si>
  <si>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</si>
  <si>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</si>
  <si>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</si>
  <si>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</si>
  <si>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</si>
  <si>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</si>
  <si>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</si>
  <si>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</si>
  <si>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</si>
  <si>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</si>
  <si>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</si>
  <si>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</si>
  <si>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</si>
  <si>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</si>
  <si>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</si>
  <si>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</si>
  <si>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</si>
  <si>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</si>
  <si>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</si>
  <si>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</si>
  <si>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</si>
  <si>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</si>
  <si>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</si>
  <si>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</si>
  <si>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</si>
  <si>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</si>
  <si>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</si>
  <si>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</si>
  <si>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</si>
  <si>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</si>
  <si>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</si>
  <si>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</si>
  <si>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</si>
  <si>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</si>
  <si>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</si>
  <si>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</si>
  <si>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</si>
  <si>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</si>
  <si>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</si>
  <si>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</si>
  <si>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</si>
  <si>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</si>
  <si>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</si>
  <si>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</si>
  <si>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</si>
  <si>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</si>
  <si>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</si>
  <si>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</si>
  <si>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</si>
  <si>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</si>
  <si>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</si>
  <si>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</si>
  <si>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</si>
  <si>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</si>
  <si>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</si>
  <si>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</si>
  <si>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</si>
  <si>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</si>
  <si>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</si>
  <si>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</si>
  <si>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</si>
  <si>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</si>
  <si>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</si>
  <si>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</si>
  <si>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</si>
  <si>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</si>
  <si>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</si>
  <si>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</si>
  <si>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</si>
  <si>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</si>
  <si>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</si>
  <si>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</si>
  <si>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</si>
  <si>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</si>
  <si>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</si>
  <si>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</si>
  <si>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</si>
  <si>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</si>
  <si>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</si>
  <si>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</si>
  <si>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</si>
  <si>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</si>
  <si>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</si>
  <si>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</si>
  <si>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</si>
  <si>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</si>
  <si>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</si>
  <si>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</si>
  <si>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</si>
  <si>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</si>
  <si>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</si>
  <si>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</si>
  <si>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</si>
  <si>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</si>
  <si>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</si>
  <si>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</si>
  <si>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</si>
  <si>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</si>
  <si>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</si>
  <si>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</si>
  <si>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</si>
  <si>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</si>
  <si>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</si>
  <si>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</si>
  <si>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</si>
  <si>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</si>
  <si>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</si>
  <si>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</si>
  <si>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</si>
  <si>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</si>
  <si>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</si>
  <si>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</si>
  <si>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</si>
  <si>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</si>
  <si>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</si>
  <si>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</si>
  <si>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</si>
  <si>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</si>
  <si>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</si>
  <si>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</si>
  <si>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</si>
  <si>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</si>
  <si>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</si>
  <si>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</si>
  <si>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</si>
  <si>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</si>
  <si>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</si>
  <si>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</si>
  <si>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</si>
  <si>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</si>
  <si>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</si>
  <si>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</si>
  <si>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</si>
  <si>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</si>
  <si>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</si>
  <si>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</si>
  <si>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</si>
  <si>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</si>
  <si>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</si>
  <si>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</si>
  <si>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</si>
  <si>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</si>
  <si>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</si>
  <si>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</si>
  <si>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</si>
  <si>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</si>
  <si>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</si>
  <si>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</si>
  <si>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</si>
  <si>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</si>
  <si>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</si>
  <si>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</si>
  <si>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</si>
  <si>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</si>
  <si>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</si>
  <si>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</si>
  <si>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</si>
  <si>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</si>
  <si>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</si>
  <si>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</si>
  <si>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</si>
  <si>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</si>
  <si>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</si>
  <si>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</si>
  <si>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</si>
  <si>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</si>
  <si>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</si>
  <si>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</si>
  <si>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</si>
  <si>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</si>
  <si>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</si>
  <si>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</si>
  <si>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</si>
  <si>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</si>
  <si>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</si>
  <si>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</si>
  <si>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</si>
  <si>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</si>
  <si>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</si>
  <si>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</si>
  <si>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</si>
  <si>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</si>
  <si>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</si>
  <si>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</si>
  <si>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</si>
  <si>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</si>
  <si>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</si>
  <si>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</si>
  <si>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</si>
  <si>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</si>
  <si>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</si>
  <si>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</si>
  <si>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</si>
  <si>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</si>
  <si>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</si>
  <si>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</si>
  <si>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</si>
  <si>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</si>
  <si>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</si>
  <si>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</si>
  <si>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</si>
  <si>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</si>
  <si>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</si>
  <si>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</si>
  <si>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</si>
  <si>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</si>
  <si>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</si>
  <si>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</si>
  <si>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</si>
  <si>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</si>
  <si>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</si>
  <si>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</si>
  <si>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</si>
  <si>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</si>
  <si>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</si>
  <si>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</si>
  <si>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</si>
  <si>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</si>
  <si>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</si>
  <si>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</si>
  <si>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</si>
  <si>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</si>
  <si>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</si>
  <si>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</si>
  <si>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</si>
  <si>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</si>
  <si>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</si>
  <si>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</si>
  <si>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</si>
  <si>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</si>
  <si>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</si>
  <si>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</si>
  <si>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</si>
  <si>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</si>
  <si>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</si>
  <si>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</si>
  <si>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</si>
  <si>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</si>
  <si>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</si>
  <si>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</si>
  <si>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</si>
  <si>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</si>
  <si>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</si>
  <si>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</si>
  <si>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</si>
  <si>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</si>
  <si>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</si>
  <si>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</si>
  <si>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</si>
  <si>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</si>
  <si>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</si>
  <si>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</si>
  <si>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</si>
  <si>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</si>
  <si>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</si>
  <si>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</si>
  <si>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</si>
  <si>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</si>
  <si>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</si>
  <si>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</si>
  <si>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</si>
  <si>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</si>
  <si>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</si>
  <si>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</si>
  <si>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</si>
  <si>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</si>
  <si>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</si>
  <si>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</si>
  <si>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</si>
  <si>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</si>
  <si>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</si>
  <si>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</si>
  <si>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</si>
  <si>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</si>
  <si>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</si>
  <si>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</si>
  <si>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</si>
  <si>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</si>
  <si>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</si>
  <si>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</si>
  <si>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</si>
  <si>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</si>
  <si>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</si>
  <si>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</si>
  <si>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</si>
  <si>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</si>
  <si>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</si>
  <si>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</si>
  <si>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</si>
  <si>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</si>
  <si>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</si>
  <si>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</si>
  <si>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</si>
  <si>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</si>
  <si>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</si>
  <si>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</si>
  <si>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</si>
  <si>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</si>
  <si>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</si>
  <si>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</si>
  <si>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</si>
  <si>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</si>
  <si>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</si>
  <si>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</si>
  <si>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</si>
  <si>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</si>
  <si>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</si>
  <si>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</si>
  <si>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</si>
  <si>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</si>
  <si>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</si>
  <si>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</si>
  <si>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</si>
  <si>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</si>
  <si>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</si>
  <si>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</si>
  <si>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</si>
  <si>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</si>
  <si>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</si>
  <si>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</si>
  <si>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</si>
  <si>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</si>
  <si>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</si>
  <si>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</si>
  <si>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</si>
  <si>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</si>
  <si>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</si>
  <si>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</si>
  <si>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</si>
  <si>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</si>
  <si>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</si>
  <si>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</si>
  <si>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</si>
  <si>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</si>
  <si>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</si>
  <si>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</si>
  <si>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</si>
  <si>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</si>
  <si>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</si>
  <si>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</si>
  <si>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</si>
  <si>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</si>
  <si>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</si>
  <si>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</si>
  <si>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</si>
  <si>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</si>
  <si>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</si>
  <si>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</si>
  <si>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</si>
  <si>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</si>
  <si>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</si>
  <si>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</si>
  <si>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</si>
  <si>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</si>
  <si>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</si>
  <si>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</si>
  <si>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</si>
  <si>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</si>
  <si>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</si>
  <si>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</si>
  <si>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</si>
  <si>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</si>
  <si>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</si>
  <si>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</si>
  <si>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</si>
  <si>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1500R1 - 065 - TAYRON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</si>
</sst>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3" fillId="24" borderId="24" xfId="0" applyFont="1" applyFill="1" applyBorder="1" applyAlignment="1">
      <alignment horizontal="center"/>
    </xf>
    <xf numFmtId="0" fontId="3" fillId="24" borderId="7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05" xfId="0" applyFont="1" applyBorder="1" applyAlignment="1">
      <alignment horizontal="center" vertical="center"/>
    </xf>
    <xf numFmtId="0" fontId="0" fillId="0" borderId="105" xfId="0"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63.300000000000004</c:v>
                </c:pt>
                <c:pt idx="2">
                  <c:v>44</c:v>
                </c:pt>
                <c:pt idx="3">
                  <c:v>44</c:v>
                </c:pt>
                <c:pt idx="4">
                  <c:v>50</c:v>
                </c:pt>
                <c:pt idx="6">
                  <c:v>38.200000000000003</c:v>
                </c:pt>
                <c:pt idx="7">
                  <c:v>35.6</c:v>
                </c:pt>
                <c:pt idx="8">
                  <c:v>47.300000000000004</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188.2</c:v>
                </c:pt>
                <c:pt idx="2">
                  <c:v>188.2</c:v>
                </c:pt>
              </c:numCache>
            </c:numRef>
          </c:xVal>
          <c:yVal>
            <c:numRef>
              <c:f>'Diagram Data'!$N$25:$N$27</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188.2</c:v>
                </c:pt>
              </c:numCache>
            </c:numRef>
          </c:xVal>
          <c:yVal>
            <c:numRef>
              <c:f>'Diagram Data'!$D$25</c:f>
              <c:numCache>
                <c:formatCode>General</c:formatCode>
                <c:ptCount val="1"/>
                <c:pt idx="0">
                  <c:v>1666</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71.847687839226197</c:v>
                </c:pt>
              </c:numCache>
            </c:numRef>
          </c:xVal>
          <c:yVal>
            <c:numRef>
              <c:f>'Diagram Data'!$F$25</c:f>
              <c:numCache>
                <c:formatCode>0.00</c:formatCode>
                <c:ptCount val="1"/>
                <c:pt idx="0">
                  <c:v>740.77520788301183</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169.38</c:v>
                </c:pt>
                <c:pt idx="2">
                  <c:v>169.38</c:v>
                </c:pt>
              </c:numCache>
            </c:numRef>
          </c:xVal>
          <c:yVal>
            <c:numRef>
              <c:f>'Diagram Data'!$P$25:$P$27</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188.2</c:v>
                </c:pt>
                <c:pt idx="2">
                  <c:v>188.2</c:v>
                </c:pt>
              </c:numCache>
            </c:numRef>
          </c:xVal>
          <c:yVal>
            <c:numRef>
              <c:f>'Diagram Data'!$N$29:$N$31</c:f>
              <c:numCache>
                <c:formatCode>General</c:formatCode>
                <c:ptCount val="3"/>
                <c:pt idx="0">
                  <c:v>1666</c:v>
                </c:pt>
                <c:pt idx="1">
                  <c:v>1666</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188.2</c:v>
                </c:pt>
              </c:numCache>
            </c:numRef>
          </c:xVal>
          <c:yVal>
            <c:numRef>
              <c:f>'Diagram Data'!$D$29</c:f>
              <c:numCache>
                <c:formatCode>General</c:formatCode>
                <c:ptCount val="1"/>
                <c:pt idx="0">
                  <c:v>1666</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66.997681366724692</c:v>
                </c:pt>
              </c:numCache>
            </c:numRef>
          </c:xVal>
          <c:yVal>
            <c:numRef>
              <c:f>'Diagram Data'!$F$29</c:f>
              <c:numCache>
                <c:formatCode>0.00</c:formatCode>
                <c:ptCount val="1"/>
                <c:pt idx="0">
                  <c:v>740.77520788301183</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169.38</c:v>
                </c:pt>
                <c:pt idx="2">
                  <c:v>169.38</c:v>
                </c:pt>
              </c:numCache>
            </c:numRef>
          </c:xVal>
          <c:yVal>
            <c:numRef>
              <c:f>'Diagram Data'!$P$29:$P$31</c:f>
              <c:numCache>
                <c:formatCode>General</c:formatCode>
                <c:ptCount val="3"/>
                <c:pt idx="0">
                  <c:v>1499.4</c:v>
                </c:pt>
                <c:pt idx="1">
                  <c:v>1499.4</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117.6</c:v>
                </c:pt>
                <c:pt idx="2">
                  <c:v>117.6</c:v>
                </c:pt>
              </c:numCache>
            </c:numRef>
          </c:xVal>
          <c:yVal>
            <c:numRef>
              <c:f>'Diagram Data'!$N$33:$N$35</c:f>
              <c:numCache>
                <c:formatCode>General</c:formatCode>
                <c:ptCount val="3"/>
                <c:pt idx="0">
                  <c:v>715.4</c:v>
                </c:pt>
                <c:pt idx="1">
                  <c:v>715.4</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117.6</c:v>
                </c:pt>
              </c:numCache>
            </c:numRef>
          </c:xVal>
          <c:yVal>
            <c:numRef>
              <c:f>'Diagram Data'!$D$33</c:f>
              <c:numCache>
                <c:formatCode>General</c:formatCode>
                <c:ptCount val="1"/>
                <c:pt idx="0">
                  <c:v>715.4</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55.54458522219187</c:v>
                </c:pt>
              </c:numCache>
            </c:numRef>
          </c:xVal>
          <c:yVal>
            <c:numRef>
              <c:f>'Diagram Data'!$F$33</c:f>
              <c:numCache>
                <c:formatCode>0.00</c:formatCode>
                <c:ptCount val="1"/>
                <c:pt idx="0">
                  <c:v>364.24031013520204</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105.84</c:v>
                </c:pt>
                <c:pt idx="2">
                  <c:v>105.84</c:v>
                </c:pt>
              </c:numCache>
            </c:numRef>
          </c:xVal>
          <c:yVal>
            <c:numRef>
              <c:f>'Diagram Data'!$P$33:$P$35</c:f>
              <c:numCache>
                <c:formatCode>General</c:formatCode>
                <c:ptCount val="3"/>
                <c:pt idx="0">
                  <c:v>643.86</c:v>
                </c:pt>
                <c:pt idx="1">
                  <c:v>643.86</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71.578757940359893</c:v>
                </c:pt>
                <c:pt idx="1">
                  <c:v>69.509881056256503</c:v>
                </c:pt>
                <c:pt idx="2">
                  <c:v>65.398372230725144</c:v>
                </c:pt>
                <c:pt idx="3">
                  <c:v>60.970472585784641</c:v>
                </c:pt>
                <c:pt idx="4">
                  <c:v>60.625723908574109</c:v>
                </c:pt>
                <c:pt idx="5">
                  <c:v>61.907342429202806</c:v>
                </c:pt>
                <c:pt idx="6">
                  <c:v>63.431808348327181</c:v>
                </c:pt>
                <c:pt idx="7">
                  <c:v>65.083847851121575</c:v>
                </c:pt>
                <c:pt idx="8">
                  <c:v>66.866758038269523</c:v>
                </c:pt>
                <c:pt idx="9">
                  <c:v>68.740468673022733</c:v>
                </c:pt>
                <c:pt idx="10">
                  <c:v>70.506359764420509</c:v>
                </c:pt>
                <c:pt idx="11">
                  <c:v>71.691982446489376</c:v>
                </c:pt>
                <c:pt idx="12">
                  <c:v>71.578757940359878</c:v>
                </c:pt>
                <c:pt idx="13">
                  <c:v>69.509881056256518</c:v>
                </c:pt>
                <c:pt idx="14">
                  <c:v>65.39837223072513</c:v>
                </c:pt>
                <c:pt idx="15">
                  <c:v>60.970472585784648</c:v>
                </c:pt>
                <c:pt idx="16">
                  <c:v>60.625723908574116</c:v>
                </c:pt>
                <c:pt idx="17">
                  <c:v>61.907342429202799</c:v>
                </c:pt>
                <c:pt idx="18">
                  <c:v>63.431808348327181</c:v>
                </c:pt>
                <c:pt idx="19">
                  <c:v>65.083847851121575</c:v>
                </c:pt>
                <c:pt idx="20">
                  <c:v>66.866758038269523</c:v>
                </c:pt>
                <c:pt idx="21">
                  <c:v>68.740468673022733</c:v>
                </c:pt>
                <c:pt idx="22">
                  <c:v>70.506359764420509</c:v>
                </c:pt>
                <c:pt idx="23">
                  <c:v>71.691982446489376</c:v>
                </c:pt>
                <c:pt idx="24">
                  <c:v>71.578757940359893</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46.73585034430576</c:v>
                </c:pt>
                <c:pt idx="1">
                  <c:v>45.997028926862512</c:v>
                </c:pt>
                <c:pt idx="2">
                  <c:v>48.060566156452353</c:v>
                </c:pt>
                <c:pt idx="3">
                  <c:v>52.373538898855138</c:v>
                </c:pt>
                <c:pt idx="4">
                  <c:v>57.780289590766593</c:v>
                </c:pt>
                <c:pt idx="5">
                  <c:v>62.832083750612632</c:v>
                </c:pt>
                <c:pt idx="6">
                  <c:v>66.17529721293424</c:v>
                </c:pt>
                <c:pt idx="7">
                  <c:v>66.914118630377487</c:v>
                </c:pt>
                <c:pt idx="8">
                  <c:v>64.850581400787647</c:v>
                </c:pt>
                <c:pt idx="9">
                  <c:v>60.537608658384869</c:v>
                </c:pt>
                <c:pt idx="10">
                  <c:v>55.130857966473414</c:v>
                </c:pt>
                <c:pt idx="11">
                  <c:v>50.079063806627374</c:v>
                </c:pt>
                <c:pt idx="12">
                  <c:v>46.73585034430576</c:v>
                </c:pt>
                <c:pt idx="13">
                  <c:v>45.997028926862512</c:v>
                </c:pt>
                <c:pt idx="14">
                  <c:v>48.060566156452353</c:v>
                </c:pt>
                <c:pt idx="15">
                  <c:v>52.373538898855138</c:v>
                </c:pt>
                <c:pt idx="16">
                  <c:v>57.780289590766586</c:v>
                </c:pt>
                <c:pt idx="17">
                  <c:v>62.832083750612632</c:v>
                </c:pt>
                <c:pt idx="18">
                  <c:v>66.17529721293424</c:v>
                </c:pt>
                <c:pt idx="19">
                  <c:v>66.914118630377487</c:v>
                </c:pt>
                <c:pt idx="20">
                  <c:v>64.850581400787647</c:v>
                </c:pt>
                <c:pt idx="21">
                  <c:v>60.537608658384869</c:v>
                </c:pt>
                <c:pt idx="22">
                  <c:v>55.130857966473421</c:v>
                </c:pt>
                <c:pt idx="23">
                  <c:v>50.079063806627374</c:v>
                </c:pt>
                <c:pt idx="24">
                  <c:v>46.735850344305767</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171.75061442680155</c:v>
                </c:pt>
              </c:numCache>
            </c:numRef>
          </c:xVal>
          <c:yVal>
            <c:numRef>
              <c:f>'Payload Input'!$J$89</c:f>
              <c:numCache>
                <c:formatCode>General</c:formatCode>
                <c:ptCount val="1"/>
                <c:pt idx="0">
                  <c:v>71.847687839226197</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101.39057909898371</c:v>
                </c:pt>
              </c:numCache>
            </c:numRef>
          </c:xVal>
          <c:yVal>
            <c:numRef>
              <c:f>'Payload Input'!$K$90</c:f>
              <c:numCache>
                <c:formatCode>General</c:formatCode>
                <c:ptCount val="1"/>
                <c:pt idx="0">
                  <c:v>66.997681366724692</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55.54458522219187</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ruEp0ZGuiKFKRDBxRMtMkUrb+bxcFIIMuJsvrQR+htplAhaFFjh4DyUQdfF7NBOwLxHz9HCl55GwN/6y0i4DiQ==" saltValue="0TmVr59y4j+k7IxUtClKBQ=="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k05Zd43A3vRQ096rzGE0aJN3l7ciNkKN4Cf+eFPbImF8C54OIawOVb0sVyHWfA5p3x9KmrUyCvQvnS8rFhd1Q==" saltValue="dLPZbawAeriyjWVq1lRBZ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v9XpzgyyWSC1xrCDKae1JY2S1Y3UUedjKh/Wv2C5R4uaqupRCi7EHZkGkS4k2DcrJ9+f9sV72nMNM8D8s0pFbQ==" saltValue="Y1BBq+rop/2MkfboBebhcw=="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IfRHNFjG4tSYgBxA+A2A5foxJr8rRTdm5G4ghO5nBPEft9rjkHQxlSMC225m2Uoz7fjBQwyJWTluJP4LkXrwPA==" saltValue="yxujmegQmBRgkWjwM3Pp3Q=="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M-900iA/260L</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0.27</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165.566</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0.14141599999999999</v>
      </c>
      <c r="F13" s="661" t="s">
        <v>3913</v>
      </c>
      <c r="G13" s="129"/>
      <c r="H13" s="148" t="str">
        <f>'Wrist Load Analysis'!R16</f>
        <v>OK</v>
      </c>
    </row>
    <row r="14" spans="1:8" ht="13.5" thickBot="1">
      <c r="B14" s="141" t="str">
        <f>HLOOKUP(Anal_Payload_Code,Unit_text,5)</f>
        <v>Payload Center Y (m)</v>
      </c>
      <c r="C14" s="289">
        <v>0.174344</v>
      </c>
      <c r="F14" s="662" t="s">
        <v>3914</v>
      </c>
      <c r="G14" s="64"/>
      <c r="H14" s="372" t="str">
        <f>'Wrist Load Analysis'!R17</f>
        <v>OK</v>
      </c>
    </row>
    <row r="15" spans="1:8">
      <c r="B15" s="141" t="str">
        <f>IF(Axis_Type=1,"--------------------------------",HLOOKUP(Anal_Payload_Code,Unit_text,6))</f>
        <v>Payload Center Z (m)</v>
      </c>
      <c r="C15" s="289">
        <v>0.12754799999999999</v>
      </c>
      <c r="F15" s="373"/>
      <c r="G15" s="147"/>
      <c r="H15" s="147"/>
    </row>
    <row r="16" spans="1:8">
      <c r="A16" s="224"/>
      <c r="B16" s="141" t="str">
        <f>HLOOKUP(Anal_Payload_Code,Unit_text,7)</f>
        <v>Payload Inertia Ix (Kg.m^2)</v>
      </c>
      <c r="C16" s="289">
        <v>34.975999999999999</v>
      </c>
      <c r="E16" s="224"/>
      <c r="F16" s="4"/>
      <c r="G16" s="129"/>
      <c r="H16" s="129"/>
    </row>
    <row r="17" spans="1:8" ht="13.5" thickBot="1">
      <c r="B17" s="225" t="str">
        <f>HLOOKUP(Anal_Payload_Code,Unit_text,8)</f>
        <v>Payload Inertia Iy (Kg.m^2)</v>
      </c>
      <c r="C17" s="290">
        <v>17.257999999999999</v>
      </c>
      <c r="D17" s="224"/>
      <c r="F17" s="10"/>
      <c r="G17" s="223"/>
      <c r="H17" s="223"/>
    </row>
    <row r="18" spans="1:8" ht="16.149999999999999" customHeight="1" thickBot="1">
      <c r="B18" s="351" t="str">
        <f>IF(Axis_Type=1,"--------------------------------",HLOOKUP(Anal_Payload_Code,Unit_text,9))</f>
        <v>Payload Inertia Iz (Kg.m^2)</v>
      </c>
      <c r="C18" s="444">
        <v>47.201000000000001</v>
      </c>
      <c r="F18" s="656" t="s">
        <v>3956</v>
      </c>
      <c r="G18" s="146"/>
      <c r="H18" s="145"/>
    </row>
    <row r="19" spans="1:8" ht="16.5" thickBot="1">
      <c r="A19" s="224"/>
      <c r="C19" s="162"/>
      <c r="D19" s="162"/>
      <c r="E19" s="224"/>
      <c r="F19" s="665" t="s">
        <v>4037</v>
      </c>
      <c r="G19" s="149"/>
      <c r="H19" s="277">
        <f>'Wrist Load Analysis'!R20</f>
        <v>63.300000000000004</v>
      </c>
    </row>
    <row r="20" spans="1:8" ht="15.75" thickBot="1">
      <c r="A20" s="224"/>
      <c r="B20" s="656" t="s">
        <v>3938</v>
      </c>
      <c r="C20" s="659" t="s">
        <v>3939</v>
      </c>
      <c r="D20" s="660" t="s">
        <v>3940</v>
      </c>
      <c r="E20" s="224"/>
      <c r="F20" s="806" t="s">
        <v>4038</v>
      </c>
      <c r="G20" s="807"/>
      <c r="H20" s="347">
        <f>ROUNDDOWN(Payload_lim_J3,1)</f>
        <v>261.60000000000002</v>
      </c>
    </row>
    <row r="21" spans="1:8">
      <c r="A21" s="224"/>
      <c r="B21" s="661" t="s">
        <v>4036</v>
      </c>
      <c r="C21" s="287">
        <f>VLOOKUP('Misc Data'!$B$26,Table1,12)</f>
        <v>260</v>
      </c>
      <c r="D21" s="314">
        <f>'Wrist Load Analysis'!R6</f>
        <v>165.566</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44</v>
      </c>
    </row>
    <row r="23" spans="1:8">
      <c r="B23" s="661" t="s">
        <v>3942</v>
      </c>
      <c r="C23" s="287">
        <f>VLOOKUP('Misc Data'!$B$26,Table1,6)</f>
        <v>1666</v>
      </c>
      <c r="D23" s="314">
        <f>'Wrist Load Analysis'!R7</f>
        <v>740.77520788301183</v>
      </c>
      <c r="F23" s="661" t="s">
        <v>3959</v>
      </c>
      <c r="G23" s="327"/>
      <c r="H23" s="148">
        <f>'Wrist Load Analysis'!R23</f>
        <v>44</v>
      </c>
    </row>
    <row r="24" spans="1:8" ht="13.5" thickBot="1">
      <c r="A24" s="224"/>
      <c r="B24" s="661" t="s">
        <v>3943</v>
      </c>
      <c r="C24" s="287">
        <f>VLOOKUP('Misc Data'!$B$26,Table1,7)</f>
        <v>1666</v>
      </c>
      <c r="D24" s="314">
        <f>'Wrist Load Analysis'!R8</f>
        <v>740.77520788301183</v>
      </c>
      <c r="E24" s="224"/>
      <c r="F24" s="662" t="s">
        <v>3960</v>
      </c>
      <c r="G24" s="328"/>
      <c r="H24" s="279">
        <f>IF(Axis_Count=1,"-",'Wrist Load Analysis'!R24)</f>
        <v>50</v>
      </c>
    </row>
    <row r="25" spans="1:8">
      <c r="A25" s="224"/>
      <c r="B25" s="661" t="s">
        <v>3944</v>
      </c>
      <c r="C25" s="287">
        <f>VLOOKUP('Misc Data'!$B$26,Table1,8)</f>
        <v>715.4</v>
      </c>
      <c r="D25" s="314">
        <f>IF(Axis_Count=1,"-",'Wrist Load Analysis'!R9)</f>
        <v>364.24031013520204</v>
      </c>
      <c r="E25" s="224"/>
      <c r="F25" s="667" t="s">
        <v>3961</v>
      </c>
      <c r="G25" s="150"/>
      <c r="H25" s="312"/>
    </row>
    <row r="26" spans="1:8">
      <c r="A26" s="224"/>
      <c r="B26" s="661" t="s">
        <v>3945</v>
      </c>
      <c r="C26" s="287">
        <f>VLOOKUP('Misc Data'!$B$26,Table1,9)</f>
        <v>188.2</v>
      </c>
      <c r="D26" s="314">
        <f>'Wrist Load Analysis'!R10</f>
        <v>71.847687839226197</v>
      </c>
      <c r="E26" s="224"/>
      <c r="F26" s="661" t="s">
        <v>3958</v>
      </c>
      <c r="G26" s="226"/>
      <c r="H26" s="278">
        <f>'Wrist Load Analysis'!R26</f>
        <v>38.200000000000003</v>
      </c>
    </row>
    <row r="27" spans="1:8">
      <c r="A27" s="224"/>
      <c r="B27" s="661" t="s">
        <v>3946</v>
      </c>
      <c r="C27" s="287">
        <f>VLOOKUP('Misc Data'!$B$26,Table1,10)</f>
        <v>188.2</v>
      </c>
      <c r="D27" s="314">
        <f>'Wrist Load Analysis'!R11</f>
        <v>66.997681366724692</v>
      </c>
      <c r="E27" s="224"/>
      <c r="F27" s="661" t="s">
        <v>3959</v>
      </c>
      <c r="G27" s="227"/>
      <c r="H27" s="278">
        <f>'Wrist Load Analysis'!R27</f>
        <v>35.6</v>
      </c>
    </row>
    <row r="28" spans="1:8" ht="13.5" thickBot="1">
      <c r="A28" s="224"/>
      <c r="B28" s="662" t="s">
        <v>3947</v>
      </c>
      <c r="C28" s="440">
        <f>VLOOKUP('Misc Data'!$B$26,Table1,11)</f>
        <v>117.6</v>
      </c>
      <c r="D28" s="441">
        <f>IF(Axis_Count=1,"-",'Wrist Load Analysis'!R12)</f>
        <v>55.54458522219187</v>
      </c>
      <c r="E28" s="224"/>
      <c r="F28" s="662" t="s">
        <v>3960</v>
      </c>
      <c r="G28" s="228"/>
      <c r="H28" s="279">
        <f>IF(Axis_Count=1,"-",'Wrist Load Analysis'!R28)</f>
        <v>47.300000000000004</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Uia6BzIk2vpZzxnGvIq4Hbg7+7eiYormUO3RHsNHpM9jmotFQR2ksKjDMJN8Fvq7zBVqCBa3PFRAaHpM/Jd7tA==" saltValue="Vrm/QnADpLfswRSetNkCjQ=="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15" t="str">
        <f>'Robot Analysis'!F3</f>
        <v>REFERENCE DATA</v>
      </c>
      <c r="C3" s="816"/>
      <c r="D3" s="816"/>
      <c r="E3" s="816"/>
      <c r="F3" s="816"/>
      <c r="G3" s="816"/>
      <c r="H3" s="816"/>
      <c r="I3" s="817"/>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18" t="str">
        <f>'Robot Analysis'!B4</f>
        <v>Robot Type</v>
      </c>
      <c r="D5" s="819"/>
      <c r="E5" s="819"/>
      <c r="F5" s="819"/>
      <c r="G5" s="820" t="str">
        <f>'Robot Analysis'!C4</f>
        <v>M-900iA/260L</v>
      </c>
      <c r="H5" s="820"/>
      <c r="I5" s="821"/>
      <c r="J5" s="1"/>
      <c r="K5" s="1"/>
      <c r="L5" s="1"/>
      <c r="M5" s="1"/>
      <c r="N5" s="1"/>
      <c r="O5" s="1"/>
      <c r="P5" s="1"/>
      <c r="Q5" s="1"/>
      <c r="R5" s="1"/>
      <c r="S5" s="1"/>
    </row>
    <row r="6" spans="1:19" ht="13.5" customHeight="1">
      <c r="A6" s="1"/>
      <c r="B6" s="151"/>
      <c r="C6" s="824" t="str">
        <f>'Robot Analysis'!F4</f>
        <v>Robot E#</v>
      </c>
      <c r="D6" s="825"/>
      <c r="E6" s="825"/>
      <c r="F6" s="825"/>
      <c r="G6" s="822">
        <f>'Robot Analysis'!G4</f>
        <v>0</v>
      </c>
      <c r="H6" s="822"/>
      <c r="I6" s="823"/>
      <c r="J6" s="1"/>
      <c r="K6" s="1"/>
      <c r="L6" s="1"/>
      <c r="M6" s="1"/>
      <c r="N6" s="1"/>
      <c r="O6" s="1"/>
      <c r="P6" s="1"/>
      <c r="Q6" s="1"/>
      <c r="R6" s="1"/>
      <c r="S6" s="1"/>
    </row>
    <row r="7" spans="1:19" ht="13.5" customHeight="1">
      <c r="A7" s="1"/>
      <c r="B7" s="151"/>
      <c r="C7" s="824" t="str">
        <f>'Robot Analysis'!F5</f>
        <v>Tool #</v>
      </c>
      <c r="D7" s="825"/>
      <c r="E7" s="825"/>
      <c r="F7" s="825"/>
      <c r="G7" s="822" t="str">
        <f>'Robot Analysis'!G5</f>
        <v>LTVL</v>
      </c>
      <c r="H7" s="822"/>
      <c r="I7" s="823"/>
      <c r="J7" s="1"/>
      <c r="K7" s="1"/>
      <c r="L7" s="1"/>
      <c r="M7" s="1"/>
      <c r="N7" s="1"/>
      <c r="O7" s="1"/>
      <c r="P7" s="1"/>
      <c r="Q7" s="1"/>
      <c r="R7" s="1"/>
      <c r="S7" s="1"/>
    </row>
    <row r="8" spans="1:19" ht="13.5" customHeight="1">
      <c r="A8" s="1"/>
      <c r="B8" s="151"/>
      <c r="C8" s="824" t="str">
        <f>'Robot Analysis'!F6</f>
        <v>Robot Station #</v>
      </c>
      <c r="D8" s="825"/>
      <c r="E8" s="825"/>
      <c r="F8" s="825"/>
      <c r="G8" s="822" t="str">
        <f>'Robot Analysis'!G6</f>
        <v>GREIFER 1500R1 - 065 - TAYRON</v>
      </c>
      <c r="H8" s="822"/>
      <c r="I8" s="823"/>
      <c r="J8" s="1"/>
      <c r="K8" s="1"/>
      <c r="L8" s="1"/>
      <c r="M8" s="1"/>
      <c r="N8" s="1"/>
      <c r="O8" s="1"/>
      <c r="P8" s="1"/>
      <c r="Q8" s="1"/>
      <c r="R8" s="1"/>
      <c r="S8" s="1"/>
    </row>
    <row r="9" spans="1:19" ht="13.5" customHeight="1">
      <c r="A9" s="1"/>
      <c r="B9" s="151"/>
      <c r="C9" s="824" t="str">
        <f>'Robot Analysis'!F7</f>
        <v>Engineer</v>
      </c>
      <c r="D9" s="825"/>
      <c r="E9" s="825"/>
      <c r="F9" s="825"/>
      <c r="G9" s="822" t="str">
        <f>'Robot Analysis'!G7</f>
        <v>DMS</v>
      </c>
      <c r="H9" s="822"/>
      <c r="I9" s="823"/>
      <c r="J9" s="71"/>
      <c r="K9" s="224"/>
      <c r="L9" s="224"/>
      <c r="M9" s="224"/>
      <c r="N9" s="224"/>
      <c r="O9" s="224"/>
      <c r="P9" s="224"/>
      <c r="Q9" s="224"/>
      <c r="R9" s="224"/>
      <c r="S9" s="224"/>
    </row>
    <row r="10" spans="1:19" ht="13.5" customHeight="1" thickBot="1">
      <c r="A10" s="224"/>
      <c r="B10" s="1"/>
      <c r="C10" s="826" t="str">
        <f>'Robot Analysis'!F8</f>
        <v>Comment</v>
      </c>
      <c r="D10" s="827"/>
      <c r="E10" s="827"/>
      <c r="F10" s="827"/>
      <c r="G10" s="828">
        <f>'Robot Analysis'!G8</f>
        <v>0</v>
      </c>
      <c r="H10" s="828"/>
      <c r="I10" s="829"/>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KxJxyzaj2bDUFlru/6fqtxV1HPX50PJkeyqP6fLRgzS4Rg6QtuwPn0mHuaDCt0hkk4JNxIueP09AVNLv/O0xVw==" saltValue="TlDYdMMY//E0+eD0tiBr1g==" spinCount="100000" sheet="1" objects="1" scenarios="1" selectLockedCells="1"/>
  <mergeCells count="13">
    <mergeCell ref="C10:F10"/>
    <mergeCell ref="G7:I7"/>
    <mergeCell ref="G8:I8"/>
    <mergeCell ref="G9:I9"/>
    <mergeCell ref="G10:I10"/>
    <mergeCell ref="C7:F7"/>
    <mergeCell ref="C8:F8"/>
    <mergeCell ref="C9:F9"/>
    <mergeCell ref="B3:I3"/>
    <mergeCell ref="C5:F5"/>
    <mergeCell ref="G5:I5"/>
    <mergeCell ref="G6:I6"/>
    <mergeCell ref="C6:F6"/>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165.566</v>
      </c>
      <c r="G9" s="304"/>
      <c r="H9" s="295"/>
      <c r="I9" s="295"/>
    </row>
    <row r="10" spans="1:12" ht="13.5">
      <c r="A10" s="295"/>
      <c r="B10" s="303"/>
      <c r="C10" s="305">
        <v>3</v>
      </c>
      <c r="D10" s="295" t="s">
        <v>3756</v>
      </c>
      <c r="E10" s="295" t="str">
        <f>IF($E$22=TRUE,"[m]","[cm]")</f>
        <v>[cm]</v>
      </c>
      <c r="F10" s="306">
        <f>IF(Load_Set_2=FALSE,"-",IF($E$22=TRUE,Load_Set_2/100,Load_Set_2))</f>
        <v>14.141999999999999</v>
      </c>
      <c r="G10" s="304"/>
      <c r="H10" s="295"/>
      <c r="I10" s="295"/>
    </row>
    <row r="11" spans="1:12" ht="13.5">
      <c r="A11" s="295"/>
      <c r="B11" s="303"/>
      <c r="C11" s="305">
        <v>4</v>
      </c>
      <c r="D11" s="295" t="s">
        <v>3011</v>
      </c>
      <c r="E11" s="295" t="str">
        <f>IF($E$22=TRUE,"[m]","[cm]")</f>
        <v>[cm]</v>
      </c>
      <c r="F11" s="306">
        <f>IF(Load_Set_3=FALSE,"-",IF($E$22=TRUE,Load_Set_3/100,Load_Set_3))</f>
        <v>17.434000000000001</v>
      </c>
      <c r="G11" s="304"/>
      <c r="H11" s="295"/>
      <c r="I11" s="295"/>
    </row>
    <row r="12" spans="1:12" ht="13.5">
      <c r="A12" s="295"/>
      <c r="B12" s="376"/>
      <c r="C12" s="305">
        <v>5</v>
      </c>
      <c r="D12" s="295" t="s">
        <v>350</v>
      </c>
      <c r="E12" s="295" t="str">
        <f>IF($E$22=TRUE,"[m]","[cm]")</f>
        <v>[cm]</v>
      </c>
      <c r="F12" s="306">
        <f>IF(Load_Set_4=FALSE,"-",IF($E$22=TRUE,Load_Set_4/100,Load_Set_4))</f>
        <v>12.755000000000001</v>
      </c>
      <c r="G12" s="304"/>
      <c r="H12" s="295"/>
      <c r="I12" s="295"/>
    </row>
    <row r="13" spans="1:12" ht="13.5">
      <c r="A13" s="295"/>
      <c r="B13" s="303"/>
      <c r="C13" s="305">
        <v>6</v>
      </c>
      <c r="D13" s="295" t="s">
        <v>1116</v>
      </c>
      <c r="E13" s="295" t="str">
        <f>IF($E$22=TRUE,"[kgm^2]","[kgfcms^2]")</f>
        <v>[kgfcms^2]</v>
      </c>
      <c r="F13" s="306">
        <f>IF(Load_Set_5=FALSE,"-",IF($E$22=TRUE,Load_Set_5*0.098,Load_Set_5))</f>
        <v>356.89800000000002</v>
      </c>
      <c r="G13" s="304"/>
      <c r="H13" s="295"/>
      <c r="I13" s="295"/>
    </row>
    <row r="14" spans="1:12" ht="13.5">
      <c r="A14" s="295"/>
      <c r="B14" s="303"/>
      <c r="C14" s="305">
        <v>7</v>
      </c>
      <c r="D14" s="295" t="s">
        <v>1847</v>
      </c>
      <c r="E14" s="295" t="str">
        <f>IF($E$22=TRUE,"[kgm^2]","[kgfcms^2]")</f>
        <v>[kgfcms^2]</v>
      </c>
      <c r="F14" s="306">
        <f>IF(Load_Set_6=FALSE,"-",IF($E$22=TRUE,Load_Set_6*0.098,Load_Set_6))</f>
        <v>176.102</v>
      </c>
      <c r="G14" s="304"/>
      <c r="H14" s="295"/>
      <c r="I14" s="295"/>
    </row>
    <row r="15" spans="1:12" ht="13.5">
      <c r="A15" s="295"/>
      <c r="B15" s="303"/>
      <c r="C15" s="305">
        <v>8</v>
      </c>
      <c r="D15" s="295" t="s">
        <v>3012</v>
      </c>
      <c r="E15" s="295" t="str">
        <f>IF($E$22=TRUE,"[kgm^2]","[kgfcms^2]")</f>
        <v>[kgfcms^2]</v>
      </c>
      <c r="F15" s="306">
        <f>IF(Load_Set_7=FALSE,"-",IF($E$22=TRUE,Load_Set_7*0.098,Load_Set_7))</f>
        <v>481.64299999999997</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2IxH262ictiP2PzFYqXg1NmWPqy4HacYr6zykDkby6SVmy8bd0t5DMSu3ln11ww21r3xlAOod7UTfcM9qWmolw==" saltValue="6mCIKbTijo/y9RKodbJvOA=="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3" t="s">
        <v>3309</v>
      </c>
      <c r="X7" s="834"/>
      <c r="Y7" s="834"/>
      <c r="Z7" s="834"/>
      <c r="AA7" s="834"/>
      <c r="AB7" s="834"/>
      <c r="AC7" s="835"/>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0" t="s">
        <v>3646</v>
      </c>
      <c r="AI8" s="831"/>
      <c r="AJ8" s="831"/>
      <c r="AK8" s="831"/>
      <c r="AL8" s="831"/>
      <c r="AM8" s="831"/>
      <c r="AN8" s="831"/>
      <c r="AO8" s="831"/>
      <c r="AP8" s="831"/>
      <c r="AQ8" s="831"/>
      <c r="AR8" s="831"/>
      <c r="AS8" s="832"/>
      <c r="AT8" s="830" t="s">
        <v>3647</v>
      </c>
      <c r="AU8" s="831"/>
      <c r="AV8" s="831"/>
      <c r="AW8" s="831"/>
      <c r="AX8" s="831"/>
      <c r="AY8" s="831"/>
      <c r="AZ8" s="831"/>
      <c r="BA8" s="831"/>
      <c r="BB8" s="831"/>
      <c r="BC8" s="831"/>
      <c r="BD8" s="831"/>
      <c r="BE8" s="832"/>
      <c r="BF8" s="830" t="s">
        <v>3648</v>
      </c>
      <c r="BG8" s="831"/>
      <c r="BH8" s="831"/>
      <c r="BI8" s="831"/>
      <c r="BJ8" s="831"/>
      <c r="BK8" s="831"/>
      <c r="BL8" s="831"/>
      <c r="BM8" s="831"/>
      <c r="BN8" s="831"/>
      <c r="BO8" s="831"/>
      <c r="BP8" s="831"/>
      <c r="BQ8" s="832"/>
      <c r="BR8" s="830" t="s">
        <v>3370</v>
      </c>
      <c r="BS8" s="831"/>
      <c r="BT8" s="831"/>
      <c r="BU8" s="831"/>
      <c r="BV8" s="831"/>
      <c r="BW8" s="831"/>
      <c r="BX8" s="831"/>
      <c r="BY8" s="831"/>
      <c r="BZ8" s="831"/>
      <c r="CA8" s="831"/>
      <c r="CB8" s="831"/>
      <c r="CC8" s="832"/>
      <c r="CD8" s="830" t="s">
        <v>3371</v>
      </c>
      <c r="CE8" s="831"/>
      <c r="CF8" s="831"/>
      <c r="CG8" s="831"/>
      <c r="CH8" s="831"/>
      <c r="CI8" s="831"/>
      <c r="CJ8" s="831"/>
      <c r="CK8" s="831"/>
      <c r="CL8" s="831"/>
      <c r="CM8" s="831"/>
      <c r="CN8" s="831"/>
      <c r="CO8" s="832"/>
      <c r="CP8" s="830" t="s">
        <v>3372</v>
      </c>
      <c r="CQ8" s="831"/>
      <c r="CR8" s="831"/>
      <c r="CS8" s="831"/>
      <c r="CT8" s="831"/>
      <c r="CU8" s="831"/>
      <c r="CV8" s="831"/>
      <c r="CW8" s="831"/>
      <c r="CX8" s="831"/>
      <c r="CY8" s="831"/>
      <c r="CZ8" s="831"/>
      <c r="DA8" s="832"/>
      <c r="DB8" s="830" t="s">
        <v>3373</v>
      </c>
      <c r="DC8" s="831"/>
      <c r="DD8" s="831"/>
      <c r="DE8" s="831"/>
      <c r="DF8" s="831"/>
      <c r="DG8" s="831"/>
      <c r="DH8" s="831"/>
      <c r="DI8" s="831"/>
      <c r="DJ8" s="831"/>
      <c r="DK8" s="831"/>
      <c r="DL8" s="831"/>
      <c r="DM8" s="832"/>
      <c r="DN8" s="830" t="s">
        <v>3374</v>
      </c>
      <c r="DO8" s="831"/>
      <c r="DP8" s="831"/>
      <c r="DQ8" s="831"/>
      <c r="DR8" s="831"/>
      <c r="DS8" s="831"/>
      <c r="DT8" s="831"/>
      <c r="DU8" s="831"/>
      <c r="DV8" s="831"/>
      <c r="DW8" s="831"/>
      <c r="DX8" s="831"/>
      <c r="DY8" s="832"/>
      <c r="DZ8" s="830" t="s">
        <v>3375</v>
      </c>
      <c r="EA8" s="831"/>
      <c r="EB8" s="831"/>
      <c r="EC8" s="831"/>
      <c r="ED8" s="831"/>
      <c r="EE8" s="831"/>
      <c r="EF8" s="831"/>
      <c r="EG8" s="831"/>
      <c r="EH8" s="831"/>
      <c r="EI8" s="831"/>
      <c r="EJ8" s="831"/>
      <c r="EK8" s="832"/>
      <c r="EL8" s="830" t="s">
        <v>3376</v>
      </c>
      <c r="EM8" s="831"/>
      <c r="EN8" s="831"/>
      <c r="EO8" s="831"/>
      <c r="EP8" s="831"/>
      <c r="EQ8" s="831"/>
      <c r="ER8" s="831"/>
      <c r="ES8" s="831"/>
      <c r="ET8" s="831"/>
      <c r="EU8" s="831"/>
      <c r="EV8" s="831"/>
      <c r="EW8" s="832"/>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W7:AC7"/>
    <mergeCell ref="AH8:AS8"/>
    <mergeCell ref="AT8:BE8"/>
    <mergeCell ref="BF8:BQ8"/>
    <mergeCell ref="DB8:DM8"/>
    <mergeCell ref="DN8:DY8"/>
    <mergeCell ref="DZ8:EK8"/>
    <mergeCell ref="EL8:EW8"/>
    <mergeCell ref="BR8:CC8"/>
    <mergeCell ref="CD8:CO8"/>
    <mergeCell ref="CP8:DA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1HMtTDb+oK8aiUeZKmIx1SICMhJOv+GS0soRKB9kWlzn2n9xM/Y0lSgsXr3hKopwu05XS3vNklpcsU1i0WxHPg==" saltValue="Njm41QB34Xzu86vR8Fc62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214</v>
      </c>
    </row>
    <row r="4" spans="2:18">
      <c r="B4" s="4" t="s">
        <v>2961</v>
      </c>
      <c r="C4" s="6" t="str">
        <f>VLOOKUP(Anal_Robot_Code,Robotlist,2,FALSE)</f>
        <v>M-900iA/260L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165.566</v>
      </c>
      <c r="H6" s="513" t="s">
        <v>2962</v>
      </c>
      <c r="I6" s="447">
        <f>IF((Anal_Payload_Code=1),Anal_Input_1,IF((Anal_Payload_Code=2),Anal_Input_1,0))</f>
        <v>165.566</v>
      </c>
      <c r="J6" s="447">
        <f>IF((Anal_Payload_Code=1),Anal_Input_1,IF((Anal_Payload_Code=2),Anal_Input_1,0))</f>
        <v>165.566</v>
      </c>
      <c r="K6" s="447">
        <f>IF((Anal_Payload_Code=1),Anal_Input_1,IF((Anal_Payload_Code=2),Anal_Input_1,0))</f>
        <v>165.566</v>
      </c>
      <c r="L6" s="6"/>
    </row>
    <row r="7" spans="2:18">
      <c r="B7" s="7" t="s">
        <v>2963</v>
      </c>
      <c r="C7" s="514">
        <f t="shared" ref="C7:C12" si="0">IF(Anal_Robot_Code=10105,J7,IF(Anal_Robot_Code=10112,J7,IF(Anal_Robot_Code=10111,K7,I7)))</f>
        <v>0.14141599999999999</v>
      </c>
      <c r="D7" s="1"/>
      <c r="E7" s="1"/>
      <c r="H7" s="7" t="s">
        <v>2963</v>
      </c>
      <c r="I7" s="447">
        <f>IF((Anal_Payload_Code=1),Anal_Input_2,IF((Anal_Payload_Code=2),Anal_Input_2*0.01,0))</f>
        <v>0.14141599999999999</v>
      </c>
      <c r="J7" s="448">
        <f>(0.007+L9)*SIN(RADIANS(30))+L7*COS(RADIANS(30))</f>
        <v>0.18974384850158016</v>
      </c>
      <c r="K7" s="448">
        <f>(0.01+L9)*SIN(RADIANS(30))+L7*COS(RADIANS(30))</f>
        <v>0.19124384850158016</v>
      </c>
      <c r="L7" s="369">
        <f>IF((Anal_Payload_Code=1),Anal_Input_2,IF((Anal_Payload_Code=2),Anal_Input_2*0.01,0))</f>
        <v>0.14141599999999999</v>
      </c>
    </row>
    <row r="8" spans="2:18">
      <c r="B8" s="7" t="s">
        <v>2964</v>
      </c>
      <c r="C8" s="514">
        <f t="shared" si="0"/>
        <v>0.174344</v>
      </c>
      <c r="D8" s="1"/>
      <c r="E8" s="1"/>
      <c r="H8" s="7" t="s">
        <v>2964</v>
      </c>
      <c r="I8" s="447">
        <f>IF((Anal_Payload_Code=1),Anal_Input_3,IF((Anal_Payload_Code=2),Anal_Input_3*0.01,0))</f>
        <v>0.174344</v>
      </c>
      <c r="J8" s="447">
        <f>IF((Anal_Payload_Code=1),Anal_Input_3,IF((Anal_Payload_Code=2),Anal_Input_3*0.01,0))</f>
        <v>0.174344</v>
      </c>
      <c r="K8" s="447">
        <f>IF((Anal_Payload_Code=1),Anal_Input_3,IF((Anal_Payload_Code=2),Anal_Input_3*0.01,0))</f>
        <v>0.174344</v>
      </c>
      <c r="L8" s="6"/>
    </row>
    <row r="9" spans="2:18">
      <c r="B9" s="7" t="s">
        <v>840</v>
      </c>
      <c r="C9" s="514">
        <f t="shared" si="0"/>
        <v>0.12754799999999999</v>
      </c>
      <c r="D9" s="1"/>
      <c r="E9" s="1"/>
      <c r="H9" s="7" t="s">
        <v>840</v>
      </c>
      <c r="I9" s="447">
        <f>IF((Anal_Payload_Code=1),Anal_Input_4,IF((Anal_Payload_Code=2),Anal_Input_4*0.01,0))</f>
        <v>0.12754799999999999</v>
      </c>
      <c r="J9" s="448">
        <f>(0.007+L9)*COS(RADIANS(30))-L7*SIN(RADIANS(30))</f>
        <v>4.5813986028388681E-2</v>
      </c>
      <c r="K9" s="448">
        <f>(0.01+L9)*COS(RADIANS(30))-L7*SIN(RADIANS(30))</f>
        <v>4.8412062239741996E-2</v>
      </c>
      <c r="L9" s="369">
        <f>IF((Anal_Payload_Code=1),Anal_Input_4,IF((Anal_Payload_Code=2),Anal_Input_4*0.01,0))</f>
        <v>0.12754799999999999</v>
      </c>
    </row>
    <row r="10" spans="2:18">
      <c r="B10" s="7" t="s">
        <v>2965</v>
      </c>
      <c r="C10" s="514">
        <f t="shared" si="0"/>
        <v>34.975999999999999</v>
      </c>
      <c r="D10" s="1"/>
      <c r="E10" s="1"/>
      <c r="H10" s="7" t="s">
        <v>2965</v>
      </c>
      <c r="I10" s="447">
        <f>IF((Anal_Payload_Code=1),Anal_Input_5,IF((Anal_Payload_Code=2),Anal_Input_5*0.098,0))</f>
        <v>34.975999999999999</v>
      </c>
      <c r="J10" s="448">
        <f>L10*(COS(RADIANS(30)))^2+L12*(SIN(RADIANS(30)))^2</f>
        <v>38.032250000000005</v>
      </c>
      <c r="K10" s="448">
        <f>L10*(COS(RADIANS(30)))^2+L12*(SIN(RADIANS(30)))^2</f>
        <v>38.032250000000005</v>
      </c>
      <c r="L10" s="369">
        <f>IF((Anal_Payload_Code=1),Anal_Input_5,IF((Anal_Payload_Code=2),Anal_Input_5*0.098,0))</f>
        <v>34.975999999999999</v>
      </c>
    </row>
    <row r="11" spans="2:18">
      <c r="B11" s="7" t="s">
        <v>2362</v>
      </c>
      <c r="C11" s="514">
        <f t="shared" si="0"/>
        <v>17.257999999999999</v>
      </c>
      <c r="D11" s="1"/>
      <c r="E11" s="1"/>
      <c r="H11" s="7" t="s">
        <v>2362</v>
      </c>
      <c r="I11" s="447">
        <f>IF((Anal_Payload_Code=1),Anal_Input_6,IF((Anal_Payload_Code=2),Anal_Input_6*0.098,0))</f>
        <v>17.257999999999999</v>
      </c>
      <c r="J11" s="447">
        <f>IF((Anal_Payload_Code=1),Anal_Input_6,IF((Anal_Payload_Code=2),Anal_Input_6*0.098,0))</f>
        <v>17.257999999999999</v>
      </c>
      <c r="K11" s="447">
        <f>IF((Anal_Payload_Code=1),Anal_Input_6,IF((Anal_Payload_Code=2),Anal_Input_6*0.098,0))</f>
        <v>17.257999999999999</v>
      </c>
      <c r="L11" s="6"/>
    </row>
    <row r="12" spans="2:18">
      <c r="B12" s="7" t="s">
        <v>2363</v>
      </c>
      <c r="C12" s="514">
        <f t="shared" si="0"/>
        <v>47.201000000000001</v>
      </c>
      <c r="D12" s="1"/>
      <c r="E12" s="1"/>
      <c r="H12" s="7" t="s">
        <v>2363</v>
      </c>
      <c r="I12" s="447">
        <f>IF((Anal_Payload_Code=1),Anal_Input_7,IF((Anal_Payload_Code=2),Anal_Input_7*0.098,0))</f>
        <v>47.201000000000001</v>
      </c>
      <c r="J12" s="448">
        <f>L12*(COS(RADIANS(30)))^2+L10*(SIN(RADIANS(30)))^2</f>
        <v>44.144750000000002</v>
      </c>
      <c r="K12" s="448">
        <f>L12*(COS(RADIANS(30)))^2+L10*(SIN(RADIANS(30)))^2</f>
        <v>44.144750000000002</v>
      </c>
      <c r="L12" s="369">
        <f>IF((Anal_Payload_Code=1),Anal_Input_7,IF((Anal_Payload_Code=2),Anal_Input_7*0.098,0))</f>
        <v>47.201000000000001</v>
      </c>
    </row>
    <row r="13" spans="2:18">
      <c r="B13" s="7" t="s">
        <v>2364</v>
      </c>
      <c r="C13" s="515">
        <f>IF(Anal_Flange_Code=1,VLOOKUP(Anal_Robot_Code,Table1,13),IF(Anal_Flange_Code=2,VLOOKUP(Anal_Robot_Code,Table1,14)))</f>
        <v>0.27</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165.566</v>
      </c>
      <c r="Y18" s="522"/>
    </row>
    <row r="19" spans="2:27" s="513" customFormat="1" ht="15" thickBot="1">
      <c r="B19" s="523"/>
      <c r="C19" s="519" t="s">
        <v>1863</v>
      </c>
      <c r="D19" s="520" t="s">
        <v>1861</v>
      </c>
      <c r="E19" s="521">
        <f t="shared" ref="E19:E24" si="1">C7</f>
        <v>0.14141599999999999</v>
      </c>
      <c r="Y19" s="522"/>
    </row>
    <row r="20" spans="2:27" s="513" customFormat="1" ht="15" thickBot="1">
      <c r="B20" s="524" t="s">
        <v>3276</v>
      </c>
      <c r="C20" s="519" t="s">
        <v>3277</v>
      </c>
      <c r="D20" s="520" t="s">
        <v>1861</v>
      </c>
      <c r="E20" s="521">
        <f t="shared" si="1"/>
        <v>0.174344</v>
      </c>
      <c r="Y20" s="522"/>
    </row>
    <row r="21" spans="2:27" s="513" customFormat="1" ht="15" thickBot="1">
      <c r="B21" s="525"/>
      <c r="C21" s="519" t="s">
        <v>3278</v>
      </c>
      <c r="D21" s="520" t="s">
        <v>1861</v>
      </c>
      <c r="E21" s="521">
        <f t="shared" si="1"/>
        <v>0.12754799999999999</v>
      </c>
      <c r="Y21" s="522"/>
    </row>
    <row r="22" spans="2:27" s="513" customFormat="1" ht="15" thickBot="1">
      <c r="B22" s="526"/>
      <c r="C22" s="519" t="s">
        <v>3279</v>
      </c>
      <c r="D22" s="520" t="s">
        <v>3280</v>
      </c>
      <c r="E22" s="521">
        <f t="shared" si="1"/>
        <v>34.975999999999999</v>
      </c>
      <c r="Y22" s="522"/>
      <c r="AA22" s="527"/>
    </row>
    <row r="23" spans="2:27" s="513" customFormat="1" ht="15" thickBot="1">
      <c r="B23" s="524" t="s">
        <v>3281</v>
      </c>
      <c r="C23" s="519" t="s">
        <v>3282</v>
      </c>
      <c r="D23" s="520" t="s">
        <v>3280</v>
      </c>
      <c r="E23" s="521">
        <f t="shared" si="1"/>
        <v>17.257999999999999</v>
      </c>
      <c r="Y23" s="522"/>
    </row>
    <row r="24" spans="2:27" s="513" customFormat="1" ht="15" thickBot="1">
      <c r="B24" s="528"/>
      <c r="C24" s="519" t="s">
        <v>3283</v>
      </c>
      <c r="D24" s="520" t="s">
        <v>3280</v>
      </c>
      <c r="E24" s="521">
        <f t="shared" si="1"/>
        <v>47.201000000000001</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0.27</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740.77520788301183</v>
      </c>
      <c r="F31" s="530">
        <f>SQRT((SQRT($E$19^2+$E$20^2)+SQRT(($E$27+$E$28*COS($P$31*PI()/180))^2+$E$28^2*SIN($P$31*PI()/180)^2))^2+($E$21+$E$26)^2)</f>
        <v>0.45655090372925561</v>
      </c>
      <c r="H31" s="533" t="s">
        <v>2365</v>
      </c>
      <c r="I31" s="533" t="s">
        <v>19</v>
      </c>
      <c r="N31" s="539" t="s">
        <v>20</v>
      </c>
      <c r="O31" s="529"/>
      <c r="P31" s="521">
        <v>90</v>
      </c>
    </row>
    <row r="32" spans="2:27" s="513" customFormat="1" ht="14.25">
      <c r="B32" s="537" t="s">
        <v>21</v>
      </c>
      <c r="C32" s="536" t="s">
        <v>1618</v>
      </c>
      <c r="D32" s="530" t="s">
        <v>22</v>
      </c>
      <c r="E32" s="538">
        <f>$E$18*9.8*F32</f>
        <v>740.77520788301183</v>
      </c>
      <c r="F32" s="530">
        <f>SQRT((SQRT($E$19^2+$E$20^2)+$E$28*SIN($P$31*PI()/180))^2+($E$21+$E$26)^2)</f>
        <v>0.45655090372925561</v>
      </c>
      <c r="H32" s="533" t="s">
        <v>2366</v>
      </c>
      <c r="I32" s="533" t="s">
        <v>2162</v>
      </c>
      <c r="N32" s="533" t="s">
        <v>2163</v>
      </c>
    </row>
    <row r="33" spans="1:28" s="513" customFormat="1">
      <c r="B33" s="540"/>
      <c r="C33" s="536" t="s">
        <v>270</v>
      </c>
      <c r="D33" s="530" t="s">
        <v>2164</v>
      </c>
      <c r="E33" s="538">
        <f>$E$18*9.8*F33</f>
        <v>364.24031013520204</v>
      </c>
      <c r="F33" s="530">
        <f>SQRT($E$19^2+$E$20^2)</f>
        <v>0.22448678222113658</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71.847687839226197</v>
      </c>
      <c r="F36" s="530">
        <f>$E$18*$F31^2+MAX($E$22:$E$24)</f>
        <v>81.711366389715948</v>
      </c>
      <c r="G36" s="541" t="s">
        <v>2181</v>
      </c>
      <c r="H36" s="530">
        <f>$J$43</f>
        <v>71.845635463562218</v>
      </c>
      <c r="I36" s="530">
        <f>$J$89</f>
        <v>71.847687839226197</v>
      </c>
      <c r="J36" s="530">
        <f>$N$89</f>
        <v>-56.335416465254852</v>
      </c>
      <c r="K36" s="530">
        <f>$B$89</f>
        <v>171.75061442680155</v>
      </c>
    </row>
    <row r="37" spans="1:28" s="513" customFormat="1" ht="14.25">
      <c r="B37" s="537" t="s">
        <v>2182</v>
      </c>
      <c r="C37" s="536" t="s">
        <v>1618</v>
      </c>
      <c r="D37" s="530" t="s">
        <v>2180</v>
      </c>
      <c r="E37" s="538">
        <f>MAX(H37:I37)</f>
        <v>66.997681366724692</v>
      </c>
      <c r="F37" s="530">
        <f>$E$18*$F32^2+MAX($E$22:$E$23)</f>
        <v>69.48636638971594</v>
      </c>
      <c r="G37" s="530">
        <f>IF(E28=0,SQRT((E18*E19^2-E18*E20^2-E22+E23)^2/4+(E18*E19*E20)^2)+(E18*E19^2+E18*E20^2+E22+E23)/2+E18*(E21+E26)^2,"---")</f>
        <v>66.997681366724692</v>
      </c>
      <c r="H37" s="530">
        <f>$K$44</f>
        <v>66.914118630377487</v>
      </c>
      <c r="I37" s="530">
        <f>$K$90</f>
        <v>66.997681366724692</v>
      </c>
      <c r="J37" s="541" t="s">
        <v>2181</v>
      </c>
      <c r="K37" s="541">
        <f>$B$90</f>
        <v>101.39057909898371</v>
      </c>
    </row>
    <row r="38" spans="1:28" s="513" customFormat="1">
      <c r="B38" s="540"/>
      <c r="C38" s="536" t="s">
        <v>270</v>
      </c>
      <c r="D38" s="530" t="s">
        <v>2180</v>
      </c>
      <c r="E38" s="538">
        <f>G38</f>
        <v>55.54458522219187</v>
      </c>
      <c r="F38" s="530">
        <f>$E$18*$F33^2+$E$24</f>
        <v>55.54458522219187</v>
      </c>
      <c r="G38" s="530">
        <f>$E$18*($E$19^2+$E$20^2)+$E$24</f>
        <v>55.54458522219187</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71.845635463562218</v>
      </c>
    </row>
    <row r="44" spans="1:28" s="513" customFormat="1" ht="14.25">
      <c r="B44" s="517" t="s">
        <v>2905</v>
      </c>
      <c r="I44" s="544" t="s">
        <v>2906</v>
      </c>
      <c r="J44" s="530">
        <f>MAX(J46:J70)</f>
        <v>71.691982446489376</v>
      </c>
      <c r="K44" s="530">
        <f>MAX(K46:K70)</f>
        <v>66.914118630377487</v>
      </c>
      <c r="L44" s="545">
        <f>MAX(L46:L70)</f>
        <v>66.914118630377502</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0.14141599999999999</v>
      </c>
      <c r="D46" s="530">
        <f t="shared" ref="D46:D70" si="3">$E$19*SIN(B46*PI()/180)+$E$20*COS(B46*PI()/180)</f>
        <v>0.174344</v>
      </c>
      <c r="E46" s="530">
        <f t="shared" ref="E46:E70" si="4">$E$22*COS(B46*PI()/180)^2+$E$23*SIN(B46*PI()/180)^2</f>
        <v>34.975999999999999</v>
      </c>
      <c r="F46" s="530">
        <f t="shared" ref="F46:F70" si="5">$E$22*SIN(B46*PI()/180)^2+$E$23*COS(B46*PI()/180)^2</f>
        <v>17.257999999999999</v>
      </c>
      <c r="G46" s="530">
        <f t="shared" ref="G46:G70" si="6">($E$18*(C46+$E$28)^2-$E$18*($E$21+$E$26)^2+$E$24-E46)/2</f>
        <v>-5.3153559953711849</v>
      </c>
      <c r="H46" s="530">
        <f t="shared" ref="H46:H70" si="7">$E$18*(C46+$E$28)*($E$21+$E$26)</f>
        <v>9.3080622354698885</v>
      </c>
      <c r="I46" s="530">
        <f t="shared" ref="I46:I70" si="8">$E$18*((C46+$E$28)^2+($E$21+$E$26)^2)/2+$E$18*(D46+$E$27)^2+($E$24+E46)/2</f>
        <v>60.859941217563055</v>
      </c>
      <c r="J46" s="530">
        <f>SQRT(G46^2+H46^2)+I46</f>
        <v>71.578757940359893</v>
      </c>
      <c r="K46" s="530">
        <f t="shared" ref="K46:K70" si="9">$E$18*((C46+$E$28)^2+($E$21+$E$26)^2)+F46</f>
        <v>46.73585034430576</v>
      </c>
      <c r="L46" s="556">
        <f t="shared" ref="L46:L70" si="10">$E$18*((D46+$E$28)^2+($E$21+$E$26)^2)+E46</f>
        <v>66.17529721293424</v>
      </c>
      <c r="M46" s="557"/>
      <c r="N46" s="526">
        <f>O53*180/PI()-INT(O53*180/PI()/360)*360</f>
        <v>101.39057909898371</v>
      </c>
      <c r="O46" s="530">
        <f>INDEX($B46:$B72,MATCH(K44,K46:K70,0))</f>
        <v>105</v>
      </c>
      <c r="P46" s="530">
        <f>($E$18*$E$19^2-$E$18*$E$20^2+$E$23-$E$22)/2</f>
        <v>-9.7197234343142398</v>
      </c>
      <c r="Q46" s="530">
        <f>-$E$18*$E$19*$E$20</f>
        <v>-4.0820348797648638</v>
      </c>
      <c r="R46" s="558" t="s">
        <v>1320</v>
      </c>
      <c r="T46" s="559"/>
      <c r="U46" s="560" t="s">
        <v>1321</v>
      </c>
      <c r="V46" s="561"/>
      <c r="W46" s="561"/>
      <c r="X46" s="561"/>
      <c r="Y46" s="561"/>
      <c r="Z46" s="561"/>
      <c r="AA46" s="561"/>
      <c r="AB46" s="562"/>
    </row>
    <row r="47" spans="1:28" s="513" customFormat="1">
      <c r="A47" s="530">
        <f>A46+1</f>
        <v>1</v>
      </c>
      <c r="B47" s="530">
        <f>B46+15</f>
        <v>15</v>
      </c>
      <c r="C47" s="530">
        <f t="shared" si="2"/>
        <v>9.1473819051140992E-2</v>
      </c>
      <c r="D47" s="530">
        <f t="shared" si="3"/>
        <v>0.20500452634075939</v>
      </c>
      <c r="E47" s="530">
        <f t="shared" si="4"/>
        <v>33.789119052126345</v>
      </c>
      <c r="F47" s="530">
        <f t="shared" si="5"/>
        <v>18.444880947873656</v>
      </c>
      <c r="G47" s="530">
        <f t="shared" si="6"/>
        <v>-5.684766704092814</v>
      </c>
      <c r="H47" s="530">
        <f t="shared" si="7"/>
        <v>6.0208463020035321</v>
      </c>
      <c r="I47" s="530">
        <f t="shared" si="8"/>
        <v>61.229351926284686</v>
      </c>
      <c r="J47" s="530">
        <f t="shared" ref="J47:J70" si="11">SQRT(G47^2+H47^2)+I47</f>
        <v>69.509881056256503</v>
      </c>
      <c r="K47" s="530">
        <f t="shared" si="9"/>
        <v>45.997028926862512</v>
      </c>
      <c r="L47" s="556">
        <f t="shared" si="10"/>
        <v>66.914118630377487</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3.5297848501580187E-2</v>
      </c>
      <c r="D48" s="530">
        <f t="shared" si="3"/>
        <v>0.22169433299739416</v>
      </c>
      <c r="E48" s="530">
        <f t="shared" si="4"/>
        <v>30.546500000000002</v>
      </c>
      <c r="F48" s="530">
        <f t="shared" si="5"/>
        <v>21.6875</v>
      </c>
      <c r="G48" s="530">
        <f t="shared" si="6"/>
        <v>-4.6529980892978902</v>
      </c>
      <c r="H48" s="530">
        <f t="shared" si="7"/>
        <v>2.3233196429745995</v>
      </c>
      <c r="I48" s="530">
        <f t="shared" si="8"/>
        <v>60.197583311489765</v>
      </c>
      <c r="J48" s="530">
        <f t="shared" si="11"/>
        <v>65.398372230725144</v>
      </c>
      <c r="K48" s="530">
        <f t="shared" si="9"/>
        <v>48.060566156452353</v>
      </c>
      <c r="L48" s="556">
        <f t="shared" si="10"/>
        <v>64.850581400787661</v>
      </c>
      <c r="M48" s="557"/>
      <c r="N48" s="530">
        <v>1</v>
      </c>
      <c r="O48" s="530">
        <f>O46*PI()/180</f>
        <v>1.8325957145940461</v>
      </c>
      <c r="P48" s="530">
        <f t="shared" ref="P48:P53" si="14">-2*$P$46*SIN(2*O48)+2*$Q$46*COS(2*O48)+2*$E$18*$E$28*(-$E$19*SIN(O48)-$E$20*COS(O48))</f>
        <v>-2.649431624293185</v>
      </c>
      <c r="Q48" s="530">
        <f t="shared" ref="Q48:Q53" si="15">-4*$P$46*COS(2*O48)-4*$Q$46*SIN(2*O48)+2*$E$18*$E$28*(-$E$19*COS(O48)+$E$20*SIN(O48))</f>
        <v>-41.834179407029971</v>
      </c>
      <c r="R48" s="530">
        <f t="shared" ref="R48:R53" si="16">IF(Q48=0,O48,O48-P48/Q48)</f>
        <v>1.7692639685947935</v>
      </c>
      <c r="T48" s="559"/>
      <c r="U48" s="560" t="s">
        <v>2383</v>
      </c>
      <c r="V48" s="561"/>
      <c r="W48" s="561"/>
      <c r="X48" s="561"/>
      <c r="Y48" s="561"/>
      <c r="Z48" s="561"/>
      <c r="AA48" s="561"/>
      <c r="AB48" s="562"/>
    </row>
    <row r="49" spans="1:28" s="513" customFormat="1">
      <c r="A49" s="530">
        <f t="shared" si="12"/>
        <v>3</v>
      </c>
      <c r="B49" s="530">
        <f t="shared" si="13"/>
        <v>45</v>
      </c>
      <c r="C49" s="530">
        <f t="shared" si="2"/>
        <v>-2.3283612090910621E-2</v>
      </c>
      <c r="D49" s="530">
        <f t="shared" si="3"/>
        <v>0.22327603722746425</v>
      </c>
      <c r="E49" s="530">
        <f t="shared" si="4"/>
        <v>26.117000000000001</v>
      </c>
      <c r="F49" s="530">
        <f t="shared" si="5"/>
        <v>26.116999999999997</v>
      </c>
      <c r="G49" s="530">
        <f t="shared" si="6"/>
        <v>-2.4965117180964977</v>
      </c>
      <c r="H49" s="530">
        <f t="shared" si="7"/>
        <v>-1.5325374102558074</v>
      </c>
      <c r="I49" s="530">
        <f t="shared" si="8"/>
        <v>58.041096940288369</v>
      </c>
      <c r="J49" s="530">
        <f t="shared" si="11"/>
        <v>60.970472585784641</v>
      </c>
      <c r="K49" s="530">
        <f t="shared" si="9"/>
        <v>52.373538898855138</v>
      </c>
      <c r="L49" s="556">
        <f t="shared" si="10"/>
        <v>60.537608658384869</v>
      </c>
      <c r="M49" s="557"/>
      <c r="N49" s="530">
        <f>N48+1</f>
        <v>2</v>
      </c>
      <c r="O49" s="530">
        <f>R48</f>
        <v>1.7692639685947935</v>
      </c>
      <c r="P49" s="530">
        <f t="shared" si="14"/>
        <v>1.414612361621792E-2</v>
      </c>
      <c r="Q49" s="530">
        <f t="shared" si="15"/>
        <v>-42.168420861297811</v>
      </c>
      <c r="R49" s="530">
        <f t="shared" si="16"/>
        <v>1.7695994358313483</v>
      </c>
      <c r="T49" s="559"/>
      <c r="U49" s="560" t="s">
        <v>2384</v>
      </c>
      <c r="V49" s="561"/>
      <c r="W49" s="561"/>
      <c r="X49" s="561" t="s">
        <v>2385</v>
      </c>
      <c r="Y49" s="561"/>
      <c r="Z49" s="561"/>
      <c r="AA49" s="561"/>
      <c r="AB49" s="562"/>
    </row>
    <row r="50" spans="1:28" s="513" customFormat="1">
      <c r="A50" s="530">
        <f t="shared" si="12"/>
        <v>4</v>
      </c>
      <c r="B50" s="530">
        <f t="shared" si="13"/>
        <v>60</v>
      </c>
      <c r="C50" s="530">
        <f t="shared" si="2"/>
        <v>-8.0278332997394161E-2</v>
      </c>
      <c r="D50" s="530">
        <f t="shared" si="3"/>
        <v>0.20964184850158019</v>
      </c>
      <c r="E50" s="530">
        <f t="shared" si="4"/>
        <v>21.6875</v>
      </c>
      <c r="F50" s="530">
        <f t="shared" si="5"/>
        <v>30.546499999999998</v>
      </c>
      <c r="G50" s="530">
        <f t="shared" si="6"/>
        <v>0.20686362785922974</v>
      </c>
      <c r="H50" s="530">
        <f t="shared" si="7"/>
        <v>-5.2839545716150988</v>
      </c>
      <c r="I50" s="530">
        <f t="shared" si="8"/>
        <v>55.337721594332635</v>
      </c>
      <c r="J50" s="530">
        <f t="shared" si="11"/>
        <v>60.625723908574109</v>
      </c>
      <c r="K50" s="530">
        <f t="shared" si="9"/>
        <v>57.780289590766593</v>
      </c>
      <c r="L50" s="556">
        <f t="shared" si="10"/>
        <v>55.130857966473414</v>
      </c>
      <c r="M50" s="557"/>
      <c r="N50" s="530">
        <f>N49+1</f>
        <v>3</v>
      </c>
      <c r="O50" s="530">
        <f>R49</f>
        <v>1.7695994358313483</v>
      </c>
      <c r="P50" s="530">
        <f t="shared" si="14"/>
        <v>-2.1226398416729353E-9</v>
      </c>
      <c r="Q50" s="530">
        <f t="shared" si="15"/>
        <v>-42.168430352418731</v>
      </c>
      <c r="R50" s="530">
        <f t="shared" si="16"/>
        <v>1.769599435781011</v>
      </c>
      <c r="T50" s="559"/>
      <c r="U50" s="560" t="s">
        <v>2386</v>
      </c>
      <c r="V50" s="561"/>
      <c r="W50" s="561"/>
      <c r="X50" s="561"/>
      <c r="Y50" s="561"/>
      <c r="Z50" s="561" t="s">
        <v>2387</v>
      </c>
      <c r="AA50" s="561"/>
      <c r="AB50" s="562"/>
    </row>
    <row r="51" spans="1:28" s="513" customFormat="1">
      <c r="A51" s="530">
        <f t="shared" si="12"/>
        <v>5</v>
      </c>
      <c r="B51" s="530">
        <f t="shared" si="13"/>
        <v>75</v>
      </c>
      <c r="C51" s="530">
        <f t="shared" si="2"/>
        <v>-0.13180221817632326</v>
      </c>
      <c r="D51" s="530">
        <f t="shared" si="3"/>
        <v>0.18172091424984876</v>
      </c>
      <c r="E51" s="530">
        <f t="shared" si="4"/>
        <v>18.444880947873656</v>
      </c>
      <c r="F51" s="530">
        <f t="shared" si="5"/>
        <v>33.789119052126345</v>
      </c>
      <c r="G51" s="530">
        <f t="shared" si="6"/>
        <v>2.7327607077822496</v>
      </c>
      <c r="H51" s="530">
        <f t="shared" si="7"/>
        <v>-8.6752789610666223</v>
      </c>
      <c r="I51" s="530">
        <f t="shared" si="8"/>
        <v>52.811824514409622</v>
      </c>
      <c r="J51" s="530">
        <f t="shared" si="11"/>
        <v>61.907342429202806</v>
      </c>
      <c r="K51" s="530">
        <f t="shared" si="9"/>
        <v>62.832083750612632</v>
      </c>
      <c r="L51" s="556">
        <f t="shared" si="10"/>
        <v>50.079063806627374</v>
      </c>
      <c r="M51" s="557"/>
      <c r="N51" s="530">
        <f>N50+1</f>
        <v>4</v>
      </c>
      <c r="O51" s="530">
        <f>R50</f>
        <v>1.769599435781011</v>
      </c>
      <c r="P51" s="530">
        <f t="shared" si="14"/>
        <v>5.3290705182007514E-15</v>
      </c>
      <c r="Q51" s="530">
        <f t="shared" si="15"/>
        <v>-42.168430352418731</v>
      </c>
      <c r="R51" s="530">
        <f t="shared" si="16"/>
        <v>1.7695994357810112</v>
      </c>
      <c r="T51" s="564"/>
      <c r="U51" s="565" t="s">
        <v>2388</v>
      </c>
      <c r="V51" s="566"/>
      <c r="W51" s="566"/>
      <c r="X51" s="566"/>
      <c r="Y51" s="566"/>
      <c r="Z51" s="566"/>
      <c r="AA51" s="566"/>
      <c r="AB51" s="567"/>
    </row>
    <row r="52" spans="1:28" s="513" customFormat="1">
      <c r="A52" s="530">
        <f t="shared" si="12"/>
        <v>6</v>
      </c>
      <c r="B52" s="530">
        <f t="shared" si="13"/>
        <v>90</v>
      </c>
      <c r="C52" s="530">
        <f t="shared" si="2"/>
        <v>-0.174344</v>
      </c>
      <c r="D52" s="530">
        <f t="shared" si="3"/>
        <v>0.14141599999999999</v>
      </c>
      <c r="E52" s="530">
        <f t="shared" si="4"/>
        <v>17.257999999999999</v>
      </c>
      <c r="F52" s="530">
        <f t="shared" si="5"/>
        <v>34.975999999999999</v>
      </c>
      <c r="G52" s="530">
        <f t="shared" si="6"/>
        <v>4.4043674389430549</v>
      </c>
      <c r="H52" s="530">
        <f t="shared" si="7"/>
        <v>-11.475397425897793</v>
      </c>
      <c r="I52" s="530">
        <f t="shared" si="8"/>
        <v>51.140217783248815</v>
      </c>
      <c r="J52" s="530">
        <f t="shared" si="11"/>
        <v>63.431808348327181</v>
      </c>
      <c r="K52" s="530">
        <f t="shared" si="9"/>
        <v>66.17529721293424</v>
      </c>
      <c r="L52" s="556">
        <f t="shared" si="10"/>
        <v>46.73585034430576</v>
      </c>
      <c r="M52" s="557"/>
      <c r="N52" s="530">
        <f>N51+1</f>
        <v>5</v>
      </c>
      <c r="O52" s="530">
        <f>R51</f>
        <v>1.7695994357810112</v>
      </c>
      <c r="P52" s="530">
        <f t="shared" si="14"/>
        <v>-3.5527136788005009E-15</v>
      </c>
      <c r="Q52" s="530">
        <f t="shared" si="15"/>
        <v>-42.168430352418731</v>
      </c>
      <c r="R52" s="530">
        <f t="shared" si="16"/>
        <v>1.7695994357810112</v>
      </c>
      <c r="T52" s="552" t="s">
        <v>2055</v>
      </c>
      <c r="U52" s="553" t="s">
        <v>2056</v>
      </c>
      <c r="V52" s="554"/>
      <c r="W52" s="554"/>
      <c r="X52" s="554"/>
      <c r="Y52" s="554"/>
      <c r="Z52" s="554"/>
      <c r="AA52" s="554"/>
      <c r="AB52" s="555"/>
    </row>
    <row r="53" spans="1:28" s="513" customFormat="1">
      <c r="A53" s="530">
        <f t="shared" si="12"/>
        <v>7</v>
      </c>
      <c r="B53" s="530">
        <f t="shared" si="13"/>
        <v>105</v>
      </c>
      <c r="C53" s="530">
        <f t="shared" si="2"/>
        <v>-0.20500452634075941</v>
      </c>
      <c r="D53" s="530">
        <f t="shared" si="3"/>
        <v>9.1473819051140992E-2</v>
      </c>
      <c r="E53" s="530">
        <f t="shared" si="4"/>
        <v>18.44488094787366</v>
      </c>
      <c r="F53" s="530">
        <f t="shared" si="5"/>
        <v>33.789119052126345</v>
      </c>
      <c r="G53" s="530">
        <f t="shared" si="6"/>
        <v>4.7737781476646806</v>
      </c>
      <c r="H53" s="530">
        <f t="shared" si="7"/>
        <v>-13.493486520144925</v>
      </c>
      <c r="I53" s="530">
        <f t="shared" si="8"/>
        <v>50.770807074527191</v>
      </c>
      <c r="J53" s="530">
        <f t="shared" si="11"/>
        <v>65.083847851121575</v>
      </c>
      <c r="K53" s="530">
        <f t="shared" si="9"/>
        <v>66.914118630377487</v>
      </c>
      <c r="L53" s="556">
        <f t="shared" si="10"/>
        <v>45.997028926862512</v>
      </c>
      <c r="M53" s="557"/>
      <c r="N53" s="530">
        <f>N52+1</f>
        <v>6</v>
      </c>
      <c r="O53" s="530">
        <f>R52</f>
        <v>1.7695994357810112</v>
      </c>
      <c r="P53" s="530">
        <f t="shared" si="14"/>
        <v>-3.5527136788005009E-15</v>
      </c>
      <c r="Q53" s="530">
        <f t="shared" si="15"/>
        <v>-42.168430352418731</v>
      </c>
      <c r="R53" s="530">
        <f t="shared" si="16"/>
        <v>1.7695994357810112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-0.22169433299739413</v>
      </c>
      <c r="D54" s="530">
        <f t="shared" si="3"/>
        <v>3.5297848501580215E-2</v>
      </c>
      <c r="E54" s="530">
        <f t="shared" si="4"/>
        <v>21.687499999999993</v>
      </c>
      <c r="F54" s="530">
        <f t="shared" si="5"/>
        <v>30.546499999999998</v>
      </c>
      <c r="G54" s="530">
        <f t="shared" si="6"/>
        <v>3.742009532869762</v>
      </c>
      <c r="H54" s="530">
        <f t="shared" si="7"/>
        <v>-14.592016807084986</v>
      </c>
      <c r="I54" s="530">
        <f t="shared" si="8"/>
        <v>51.802575689322111</v>
      </c>
      <c r="J54" s="530">
        <f t="shared" si="11"/>
        <v>66.866758038269523</v>
      </c>
      <c r="K54" s="530">
        <f t="shared" si="9"/>
        <v>64.850581400787647</v>
      </c>
      <c r="L54" s="556">
        <f t="shared" si="10"/>
        <v>48.060566156452353</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-0.22327603722746425</v>
      </c>
      <c r="D55" s="530">
        <f t="shared" si="3"/>
        <v>-2.3283612090910621E-2</v>
      </c>
      <c r="E55" s="530">
        <f t="shared" si="4"/>
        <v>26.116999999999997</v>
      </c>
      <c r="F55" s="530">
        <f t="shared" si="5"/>
        <v>26.117000000000001</v>
      </c>
      <c r="G55" s="530">
        <f t="shared" si="6"/>
        <v>1.5855231616683678</v>
      </c>
      <c r="H55" s="530">
        <f t="shared" si="7"/>
        <v>-14.696125263070156</v>
      </c>
      <c r="I55" s="530">
        <f t="shared" si="8"/>
        <v>53.959062060523507</v>
      </c>
      <c r="J55" s="530">
        <f t="shared" si="11"/>
        <v>68.740468673022733</v>
      </c>
      <c r="K55" s="530">
        <f t="shared" si="9"/>
        <v>60.537608658384869</v>
      </c>
      <c r="L55" s="556">
        <f t="shared" si="10"/>
        <v>52.373538898855138</v>
      </c>
      <c r="M55" s="557"/>
      <c r="T55" s="559"/>
      <c r="U55" s="560" t="s">
        <v>2062</v>
      </c>
      <c r="V55" s="561"/>
      <c r="W55" s="561"/>
      <c r="X55" s="561"/>
      <c r="Y55" s="561"/>
      <c r="Z55" s="561"/>
      <c r="AA55" s="561"/>
      <c r="AB55" s="562"/>
    </row>
    <row r="56" spans="1:28" s="513" customFormat="1">
      <c r="A56" s="530">
        <f t="shared" si="12"/>
        <v>10</v>
      </c>
      <c r="B56" s="530">
        <f t="shared" si="13"/>
        <v>150</v>
      </c>
      <c r="C56" s="530">
        <f t="shared" si="2"/>
        <v>-0.20964184850158016</v>
      </c>
      <c r="D56" s="530">
        <f t="shared" si="3"/>
        <v>-8.0278332997394189E-2</v>
      </c>
      <c r="E56" s="530">
        <f t="shared" si="4"/>
        <v>30.546500000000002</v>
      </c>
      <c r="F56" s="530">
        <f t="shared" si="5"/>
        <v>21.6875</v>
      </c>
      <c r="G56" s="530">
        <f t="shared" si="6"/>
        <v>-1.1178521842873614</v>
      </c>
      <c r="H56" s="530">
        <f t="shared" si="7"/>
        <v>-13.79871706887239</v>
      </c>
      <c r="I56" s="530">
        <f t="shared" si="8"/>
        <v>56.662437406479235</v>
      </c>
      <c r="J56" s="530">
        <f>SQRT(G56^2+H56^2)+I56</f>
        <v>70.506359764420509</v>
      </c>
      <c r="K56" s="530">
        <f t="shared" si="9"/>
        <v>55.130857966473414</v>
      </c>
      <c r="L56" s="556">
        <f t="shared" si="10"/>
        <v>57.7802895907666</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-0.18172091424984876</v>
      </c>
      <c r="D57" s="530">
        <f t="shared" si="3"/>
        <v>-0.13180221817632318</v>
      </c>
      <c r="E57" s="530">
        <f t="shared" si="4"/>
        <v>33.789119052126345</v>
      </c>
      <c r="F57" s="530">
        <f t="shared" si="5"/>
        <v>18.44488094787366</v>
      </c>
      <c r="G57" s="530">
        <f t="shared" si="6"/>
        <v>-3.6437492642103813</v>
      </c>
      <c r="H57" s="530">
        <f t="shared" si="7"/>
        <v>-11.960949109889116</v>
      </c>
      <c r="I57" s="530">
        <f t="shared" si="8"/>
        <v>59.188334486402248</v>
      </c>
      <c r="J57" s="530">
        <f t="shared" si="11"/>
        <v>71.691982446489376</v>
      </c>
      <c r="K57" s="530">
        <f t="shared" si="9"/>
        <v>50.079063806627374</v>
      </c>
      <c r="L57" s="556">
        <f t="shared" si="10"/>
        <v>62.832083750612625</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-0.14141600000000001</v>
      </c>
      <c r="D58" s="530">
        <f t="shared" si="3"/>
        <v>-0.17434399999999997</v>
      </c>
      <c r="E58" s="530">
        <f t="shared" si="4"/>
        <v>34.975999999999999</v>
      </c>
      <c r="F58" s="530">
        <f t="shared" si="5"/>
        <v>17.257999999999999</v>
      </c>
      <c r="G58" s="530">
        <f t="shared" si="6"/>
        <v>-5.3153559953711849</v>
      </c>
      <c r="H58" s="530">
        <f t="shared" si="7"/>
        <v>-9.3080622354698885</v>
      </c>
      <c r="I58" s="530">
        <f t="shared" si="8"/>
        <v>60.859941217563048</v>
      </c>
      <c r="J58" s="530">
        <f t="shared" si="11"/>
        <v>71.578757940359878</v>
      </c>
      <c r="K58" s="530">
        <f t="shared" si="9"/>
        <v>46.73585034430576</v>
      </c>
      <c r="L58" s="556">
        <f t="shared" si="10"/>
        <v>66.17529721293424</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-9.1473819051141075E-2</v>
      </c>
      <c r="D59" s="530">
        <f t="shared" si="3"/>
        <v>-0.20500452634075936</v>
      </c>
      <c r="E59" s="530">
        <f t="shared" si="4"/>
        <v>33.789119052126352</v>
      </c>
      <c r="F59" s="530">
        <f t="shared" si="5"/>
        <v>18.444880947873656</v>
      </c>
      <c r="G59" s="530">
        <f t="shared" si="6"/>
        <v>-5.6847667040928158</v>
      </c>
      <c r="H59" s="530">
        <f t="shared" si="7"/>
        <v>-6.0208463020035374</v>
      </c>
      <c r="I59" s="530">
        <f t="shared" si="8"/>
        <v>61.229351926284686</v>
      </c>
      <c r="J59" s="530">
        <f t="shared" si="11"/>
        <v>69.509881056256518</v>
      </c>
      <c r="K59" s="530">
        <f t="shared" si="9"/>
        <v>45.997028926862512</v>
      </c>
      <c r="L59" s="556">
        <f t="shared" si="10"/>
        <v>66.914118630377502</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-3.5297848501580145E-2</v>
      </c>
      <c r="D60" s="530">
        <f t="shared" si="3"/>
        <v>-0.22169433299739416</v>
      </c>
      <c r="E60" s="530">
        <f t="shared" si="4"/>
        <v>30.546499999999998</v>
      </c>
      <c r="F60" s="530">
        <f t="shared" si="5"/>
        <v>21.6875</v>
      </c>
      <c r="G60" s="530">
        <f t="shared" si="6"/>
        <v>-4.6529980892978902</v>
      </c>
      <c r="H60" s="530">
        <f t="shared" si="7"/>
        <v>-2.3233196429745964</v>
      </c>
      <c r="I60" s="530">
        <f t="shared" si="8"/>
        <v>60.197583311489765</v>
      </c>
      <c r="J60" s="530">
        <f t="shared" si="11"/>
        <v>65.39837223072513</v>
      </c>
      <c r="K60" s="530">
        <f t="shared" si="9"/>
        <v>48.060566156452353</v>
      </c>
      <c r="L60" s="556">
        <f t="shared" si="10"/>
        <v>64.850581400787647</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2.3283612090910608E-2</v>
      </c>
      <c r="D61" s="530">
        <f t="shared" si="3"/>
        <v>-0.22327603722746425</v>
      </c>
      <c r="E61" s="530">
        <f t="shared" si="4"/>
        <v>26.117000000000004</v>
      </c>
      <c r="F61" s="530">
        <f t="shared" si="5"/>
        <v>26.116999999999997</v>
      </c>
      <c r="G61" s="530">
        <f t="shared" si="6"/>
        <v>-2.4965117180964995</v>
      </c>
      <c r="H61" s="530">
        <f t="shared" si="7"/>
        <v>1.5325374102558065</v>
      </c>
      <c r="I61" s="530">
        <f t="shared" si="8"/>
        <v>58.041096940288377</v>
      </c>
      <c r="J61" s="530">
        <f t="shared" si="11"/>
        <v>60.970472585784648</v>
      </c>
      <c r="K61" s="530">
        <f t="shared" si="9"/>
        <v>52.373538898855138</v>
      </c>
      <c r="L61" s="556">
        <f t="shared" si="10"/>
        <v>60.537608658384869</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8.027833299739405E-2</v>
      </c>
      <c r="D62" s="530">
        <f t="shared" si="3"/>
        <v>-0.20964184850158021</v>
      </c>
      <c r="E62" s="530">
        <f t="shared" si="4"/>
        <v>21.687500000000007</v>
      </c>
      <c r="F62" s="530">
        <f t="shared" si="5"/>
        <v>30.546499999999995</v>
      </c>
      <c r="G62" s="530">
        <f t="shared" si="6"/>
        <v>0.20686362785922441</v>
      </c>
      <c r="H62" s="530">
        <f t="shared" si="7"/>
        <v>5.2839545716150917</v>
      </c>
      <c r="I62" s="530">
        <f t="shared" si="8"/>
        <v>55.337721594332649</v>
      </c>
      <c r="J62" s="530">
        <f t="shared" si="11"/>
        <v>60.625723908574116</v>
      </c>
      <c r="K62" s="530">
        <f t="shared" si="9"/>
        <v>57.780289590766586</v>
      </c>
      <c r="L62" s="556">
        <f t="shared" si="10"/>
        <v>55.130857966473421</v>
      </c>
      <c r="M62" s="557"/>
      <c r="N62" s="550" t="s">
        <v>1313</v>
      </c>
      <c r="O62" s="550" t="s">
        <v>1314</v>
      </c>
      <c r="P62" s="549"/>
      <c r="Q62" s="570"/>
      <c r="R62" s="570"/>
      <c r="S62" s="570"/>
    </row>
    <row r="63" spans="1:28" s="513" customFormat="1" ht="14.25">
      <c r="A63" s="530">
        <f t="shared" si="12"/>
        <v>17</v>
      </c>
      <c r="B63" s="530">
        <f t="shared" si="13"/>
        <v>255</v>
      </c>
      <c r="C63" s="530">
        <f t="shared" si="2"/>
        <v>0.13180221817632326</v>
      </c>
      <c r="D63" s="530">
        <f t="shared" si="3"/>
        <v>-0.18172091424984874</v>
      </c>
      <c r="E63" s="530">
        <f t="shared" si="4"/>
        <v>18.444880947873656</v>
      </c>
      <c r="F63" s="530">
        <f t="shared" si="5"/>
        <v>33.789119052126345</v>
      </c>
      <c r="G63" s="530">
        <f t="shared" si="6"/>
        <v>2.7327607077822496</v>
      </c>
      <c r="H63" s="530">
        <f t="shared" si="7"/>
        <v>8.6752789610666223</v>
      </c>
      <c r="I63" s="530">
        <f t="shared" si="8"/>
        <v>52.811824514409615</v>
      </c>
      <c r="J63" s="530">
        <f t="shared" si="11"/>
        <v>61.907342429202799</v>
      </c>
      <c r="K63" s="530">
        <f t="shared" si="9"/>
        <v>62.832083750612632</v>
      </c>
      <c r="L63" s="556">
        <f t="shared" si="10"/>
        <v>50.079063806627374</v>
      </c>
      <c r="M63" s="557"/>
      <c r="N63" s="526">
        <f>O70*180/PI()-INT(O70*180/PI()/360)*360</f>
        <v>171.75061442680155</v>
      </c>
      <c r="O63" s="526">
        <f>INDEX($B73:$B85,MATCH($J$43,$J$73:$J$85,0))</f>
        <v>171</v>
      </c>
      <c r="P63" s="540"/>
      <c r="Q63" s="571"/>
      <c r="R63" s="571"/>
      <c r="S63" s="571"/>
      <c r="V63" s="571"/>
      <c r="W63" s="571"/>
      <c r="X63" s="571"/>
      <c r="Y63" s="571"/>
      <c r="Z63" s="571"/>
      <c r="AA63" s="571"/>
      <c r="AB63" s="572"/>
    </row>
    <row r="64" spans="1:28" s="513" customFormat="1">
      <c r="A64" s="530">
        <f t="shared" si="12"/>
        <v>18</v>
      </c>
      <c r="B64" s="530">
        <f t="shared" si="13"/>
        <v>270</v>
      </c>
      <c r="C64" s="530">
        <f t="shared" si="2"/>
        <v>0.17434399999999997</v>
      </c>
      <c r="D64" s="530">
        <f t="shared" si="3"/>
        <v>-0.14141600000000001</v>
      </c>
      <c r="E64" s="530">
        <f t="shared" si="4"/>
        <v>17.257999999999999</v>
      </c>
      <c r="F64" s="530">
        <f t="shared" si="5"/>
        <v>34.975999999999999</v>
      </c>
      <c r="G64" s="530">
        <f t="shared" si="6"/>
        <v>4.4043674389430532</v>
      </c>
      <c r="H64" s="530">
        <f t="shared" si="7"/>
        <v>11.475397425897791</v>
      </c>
      <c r="I64" s="530">
        <f t="shared" si="8"/>
        <v>51.140217783248815</v>
      </c>
      <c r="J64" s="530">
        <f t="shared" si="11"/>
        <v>63.431808348327181</v>
      </c>
      <c r="K64" s="530">
        <f t="shared" si="9"/>
        <v>66.17529721293424</v>
      </c>
      <c r="L64" s="556">
        <f t="shared" si="10"/>
        <v>46.73585034430576</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0.20500452634075941</v>
      </c>
      <c r="D65" s="530">
        <f t="shared" si="3"/>
        <v>-9.1473819051140909E-2</v>
      </c>
      <c r="E65" s="530">
        <f t="shared" si="4"/>
        <v>18.444880947873664</v>
      </c>
      <c r="F65" s="530">
        <f t="shared" si="5"/>
        <v>33.789119052126345</v>
      </c>
      <c r="G65" s="530">
        <f t="shared" si="6"/>
        <v>4.7737781476646788</v>
      </c>
      <c r="H65" s="530">
        <f t="shared" si="7"/>
        <v>13.493486520144925</v>
      </c>
      <c r="I65" s="530">
        <f t="shared" si="8"/>
        <v>50.770807074527191</v>
      </c>
      <c r="J65" s="530">
        <f t="shared" si="11"/>
        <v>65.083847851121575</v>
      </c>
      <c r="K65" s="530">
        <f t="shared" si="9"/>
        <v>66.914118630377487</v>
      </c>
      <c r="L65" s="556">
        <f t="shared" si="10"/>
        <v>45.997028926862512</v>
      </c>
      <c r="M65" s="557"/>
      <c r="N65" s="530">
        <v>1</v>
      </c>
      <c r="O65" s="530">
        <f>O63*PI()/180</f>
        <v>2.9845130209103035</v>
      </c>
      <c r="P65" s="530">
        <f t="shared" ref="P65:P70" si="17">SIN(O65)</f>
        <v>0.15643446504023098</v>
      </c>
      <c r="Q65" s="530">
        <f t="shared" ref="Q65:Q70" si="18">COS(O65)</f>
        <v>-0.98768834059513766</v>
      </c>
      <c r="R65" s="530">
        <f t="shared" ref="R65:R70" si="19">($E$18*($E$19*Q65-$E$20*P65+$E$28)^2-$E$18*($E$21+$E$26)^2+$E$24-$E$22*Q65^2-$E$23*P65^2)/2</f>
        <v>-4.4467883578703766</v>
      </c>
      <c r="S65" s="530">
        <f t="shared" ref="S65:S70" si="20">$E$18*($E$19*Q65-$E$20*P65+$E$28)*(-$E$19*P65-$E$20*Q65)-($E$23-$E$22)*P65*Q65</f>
        <v>-6.8858055939720071</v>
      </c>
      <c r="T65" s="530">
        <f t="shared" ref="T65:T70" si="21">$E$18*(-$E$19*P65-$E$20*Q65)^2+$E$18*($E$19*Q65-$E$20*P65+$E$28)*(-$E$19*Q65+$E$20*P65)-($E$23-$E$22)*(Q65^2-P65^2)</f>
        <v>15.96517631862525</v>
      </c>
      <c r="U65" s="530">
        <f t="shared" ref="U65:U70" si="22">$E$18*($E$19*Q65-$E$20*P65+$E$28)*($E$21+$E$26)</f>
        <v>-10.988612200951888</v>
      </c>
      <c r="V65" s="530">
        <f t="shared" ref="V65:V70" si="23">$E$18*($E$21+$E$26)*(-$E$19*P65-$E$20*Q65)</f>
        <v>9.8780145048877959</v>
      </c>
      <c r="W65" s="530">
        <f t="shared" ref="W65:W70" si="24">$E$18*($E$21+$E$26)*(-$E$19*Q65+$E$20*P65)</f>
        <v>10.988612200951886</v>
      </c>
      <c r="X65" s="530">
        <f t="shared" ref="X65:X70" si="25">S65+2*($E$23-$E$22)*P65*Q65+2*$E$18*($E$19*P65+$E$20*Q65+$E$27)*($E$19*Q65-$E$20*P65)</f>
        <v>6.885805593972008</v>
      </c>
      <c r="Y65" s="530">
        <f t="shared" ref="Y65:Y70" si="26">T65+2*($E$23-$E$22)*(Q65^2-P65^2)+2*$E$18*($E$19*Q65-$E$20*P65)^2+2*$E$18*($E$19*P65+$E$20*Q65+$E$27)*(-$E$19*P65-$E$20*Q65)</f>
        <v>-15.965176318625252</v>
      </c>
      <c r="Z65" s="530">
        <f t="shared" ref="Z65:Z70" si="27">IF(OR(R65,U65),(R65^2+U65^2)^(-0.5)*(R65*S65+U65*V65)+X65,0)</f>
        <v>0.31214024680922758</v>
      </c>
      <c r="AA65" s="530">
        <f t="shared" ref="AA65:AA70" si="28">IF(OR(R65,U65),(-1)*(R65^2+U65^2)^(-1.5)*(R65*S65+U65*V65)^2+(R65^2+U65^2)^(-0.5)*(S65^2+R65*T65+V65^2+U65*W65)+Y65,0)</f>
        <v>-23.554594034534141</v>
      </c>
      <c r="AB65" s="530">
        <f t="shared" ref="AB65:AB70" si="29">IF(AA65=0,O65,O65-Z65/AA65)</f>
        <v>2.9977647987312919</v>
      </c>
    </row>
    <row r="66" spans="1:28" s="513" customFormat="1">
      <c r="A66" s="530">
        <f t="shared" si="12"/>
        <v>20</v>
      </c>
      <c r="B66" s="530">
        <f t="shared" si="13"/>
        <v>300</v>
      </c>
      <c r="C66" s="530">
        <f t="shared" si="2"/>
        <v>0.22169433299739416</v>
      </c>
      <c r="D66" s="530">
        <f t="shared" si="3"/>
        <v>-3.5297848501580145E-2</v>
      </c>
      <c r="E66" s="530">
        <f t="shared" si="4"/>
        <v>21.6875</v>
      </c>
      <c r="F66" s="530">
        <f t="shared" si="5"/>
        <v>30.546499999999998</v>
      </c>
      <c r="G66" s="530">
        <f t="shared" si="6"/>
        <v>3.7420095328697585</v>
      </c>
      <c r="H66" s="530">
        <f t="shared" si="7"/>
        <v>14.592016807084986</v>
      </c>
      <c r="I66" s="530">
        <f t="shared" si="8"/>
        <v>51.802575689322111</v>
      </c>
      <c r="J66" s="530">
        <f t="shared" si="11"/>
        <v>66.866758038269523</v>
      </c>
      <c r="K66" s="530">
        <f t="shared" si="9"/>
        <v>64.850581400787647</v>
      </c>
      <c r="L66" s="556">
        <f t="shared" si="10"/>
        <v>48.060566156452353</v>
      </c>
      <c r="M66" s="557"/>
      <c r="N66" s="530">
        <f>N65+1</f>
        <v>2</v>
      </c>
      <c r="O66" s="530">
        <f>AB65</f>
        <v>2.9977647987312919</v>
      </c>
      <c r="P66" s="530">
        <f t="shared" si="17"/>
        <v>0.14333248617524966</v>
      </c>
      <c r="Q66" s="530">
        <f t="shared" si="18"/>
        <v>-0.98967459218008713</v>
      </c>
      <c r="R66" s="530">
        <f t="shared" si="19"/>
        <v>-4.5366251040938295</v>
      </c>
      <c r="S66" s="530">
        <f t="shared" si="20"/>
        <v>-6.6718451066695241</v>
      </c>
      <c r="T66" s="530">
        <f t="shared" si="21"/>
        <v>16.324523303519065</v>
      </c>
      <c r="U66" s="530">
        <f t="shared" si="22"/>
        <v>-10.856749939778521</v>
      </c>
      <c r="V66" s="530">
        <f t="shared" si="23"/>
        <v>10.022761565895967</v>
      </c>
      <c r="W66" s="530">
        <f t="shared" si="24"/>
        <v>10.856749939778521</v>
      </c>
      <c r="X66" s="530">
        <f t="shared" si="25"/>
        <v>6.6718451066695259</v>
      </c>
      <c r="Y66" s="530">
        <f t="shared" si="26"/>
        <v>-16.324523303519065</v>
      </c>
      <c r="Z66" s="530">
        <f t="shared" si="27"/>
        <v>-3.6410594384070905E-3</v>
      </c>
      <c r="AA66" s="530">
        <f t="shared" si="28"/>
        <v>-24.102561594446442</v>
      </c>
      <c r="AB66" s="530">
        <f t="shared" si="29"/>
        <v>2.9976137334835529</v>
      </c>
    </row>
    <row r="67" spans="1:28" s="513" customFormat="1">
      <c r="A67" s="530">
        <f t="shared" si="12"/>
        <v>21</v>
      </c>
      <c r="B67" s="530">
        <f t="shared" si="13"/>
        <v>315</v>
      </c>
      <c r="C67" s="530">
        <f t="shared" si="2"/>
        <v>0.22327603722746425</v>
      </c>
      <c r="D67" s="530">
        <f t="shared" si="3"/>
        <v>2.3283612090910594E-2</v>
      </c>
      <c r="E67" s="530">
        <f t="shared" si="4"/>
        <v>26.116999999999997</v>
      </c>
      <c r="F67" s="530">
        <f t="shared" si="5"/>
        <v>26.117000000000004</v>
      </c>
      <c r="G67" s="530">
        <f t="shared" si="6"/>
        <v>1.5855231616683678</v>
      </c>
      <c r="H67" s="530">
        <f t="shared" si="7"/>
        <v>14.696125263070156</v>
      </c>
      <c r="I67" s="530">
        <f t="shared" si="8"/>
        <v>53.959062060523507</v>
      </c>
      <c r="J67" s="530">
        <f t="shared" si="11"/>
        <v>68.740468673022733</v>
      </c>
      <c r="K67" s="530">
        <f t="shared" si="9"/>
        <v>60.537608658384869</v>
      </c>
      <c r="L67" s="556">
        <f t="shared" si="10"/>
        <v>52.373538898855138</v>
      </c>
      <c r="M67" s="557"/>
      <c r="N67" s="530">
        <f>N66+1</f>
        <v>3</v>
      </c>
      <c r="O67" s="530">
        <f>AB66</f>
        <v>2.9976137334835529</v>
      </c>
      <c r="P67" s="530">
        <f t="shared" si="17"/>
        <v>0.14348198997665523</v>
      </c>
      <c r="Q67" s="530">
        <f t="shared" si="18"/>
        <v>-0.98965292833009844</v>
      </c>
      <c r="R67" s="530">
        <f t="shared" si="19"/>
        <v>-4.5356170339066537</v>
      </c>
      <c r="S67" s="530">
        <f t="shared" si="20"/>
        <v>-6.674310870276603</v>
      </c>
      <c r="T67" s="530">
        <f t="shared" si="21"/>
        <v>16.320491022770351</v>
      </c>
      <c r="U67" s="530">
        <f t="shared" si="22"/>
        <v>-10.858263906852379</v>
      </c>
      <c r="V67" s="530">
        <f t="shared" si="23"/>
        <v>10.021121373919648</v>
      </c>
      <c r="W67" s="530">
        <f t="shared" si="24"/>
        <v>10.858263906852377</v>
      </c>
      <c r="X67" s="530">
        <f t="shared" si="25"/>
        <v>6.674310870276603</v>
      </c>
      <c r="Y67" s="530">
        <f t="shared" si="26"/>
        <v>-16.320491022770348</v>
      </c>
      <c r="Z67" s="530">
        <f t="shared" si="27"/>
        <v>-4.6777296169864258E-7</v>
      </c>
      <c r="AA67" s="530">
        <f t="shared" si="28"/>
        <v>-24.096368389464857</v>
      </c>
      <c r="AB67" s="530">
        <f t="shared" si="29"/>
        <v>2.9976137140709613</v>
      </c>
    </row>
    <row r="68" spans="1:28" s="513" customFormat="1">
      <c r="A68" s="530">
        <f t="shared" si="12"/>
        <v>22</v>
      </c>
      <c r="B68" s="530">
        <f t="shared" si="13"/>
        <v>330</v>
      </c>
      <c r="C68" s="530">
        <f t="shared" si="2"/>
        <v>0.20964184850158021</v>
      </c>
      <c r="D68" s="530">
        <f t="shared" si="3"/>
        <v>8.027833299739405E-2</v>
      </c>
      <c r="E68" s="530">
        <f t="shared" si="4"/>
        <v>30.546499999999995</v>
      </c>
      <c r="F68" s="530">
        <f t="shared" si="5"/>
        <v>21.687500000000007</v>
      </c>
      <c r="G68" s="530">
        <f t="shared" si="6"/>
        <v>-1.1178521842873579</v>
      </c>
      <c r="H68" s="530">
        <f t="shared" si="7"/>
        <v>13.798717068872394</v>
      </c>
      <c r="I68" s="530">
        <f t="shared" si="8"/>
        <v>56.662437406479228</v>
      </c>
      <c r="J68" s="530">
        <f t="shared" si="11"/>
        <v>70.506359764420509</v>
      </c>
      <c r="K68" s="530">
        <f t="shared" si="9"/>
        <v>55.130857966473421</v>
      </c>
      <c r="L68" s="556">
        <f t="shared" si="10"/>
        <v>57.780289590766586</v>
      </c>
      <c r="M68" s="557"/>
      <c r="N68" s="530">
        <f>N67+1</f>
        <v>4</v>
      </c>
      <c r="O68" s="530">
        <f>AB67</f>
        <v>2.9976137140709613</v>
      </c>
      <c r="P68" s="530">
        <f t="shared" si="17"/>
        <v>0.14348200918838327</v>
      </c>
      <c r="Q68" s="530">
        <f t="shared" si="18"/>
        <v>-0.98965292554474105</v>
      </c>
      <c r="R68" s="530">
        <f t="shared" si="19"/>
        <v>-4.5356169043409809</v>
      </c>
      <c r="S68" s="530">
        <f t="shared" si="20"/>
        <v>-6.6743111870996259</v>
      </c>
      <c r="T68" s="530">
        <f t="shared" si="21"/>
        <v>16.320490504507656</v>
      </c>
      <c r="U68" s="530">
        <f t="shared" si="22"/>
        <v>-10.858264101388315</v>
      </c>
      <c r="V68" s="530">
        <f t="shared" si="23"/>
        <v>10.021121163132607</v>
      </c>
      <c r="W68" s="530">
        <f t="shared" si="24"/>
        <v>10.858264101388313</v>
      </c>
      <c r="X68" s="530">
        <f t="shared" si="25"/>
        <v>6.6743111870996268</v>
      </c>
      <c r="Y68" s="530">
        <f t="shared" si="26"/>
        <v>-16.32049050450766</v>
      </c>
      <c r="Z68" s="530">
        <f t="shared" si="27"/>
        <v>-1.1546319456101628E-14</v>
      </c>
      <c r="AA68" s="530">
        <f t="shared" si="28"/>
        <v>-24.096367593527081</v>
      </c>
      <c r="AB68" s="530">
        <f t="shared" si="29"/>
        <v>2.9976137140709609</v>
      </c>
    </row>
    <row r="69" spans="1:28" s="513" customFormat="1">
      <c r="A69" s="530">
        <f t="shared" si="12"/>
        <v>23</v>
      </c>
      <c r="B69" s="530">
        <f t="shared" si="13"/>
        <v>345</v>
      </c>
      <c r="C69" s="530">
        <f t="shared" si="2"/>
        <v>0.18172091424984874</v>
      </c>
      <c r="D69" s="530">
        <f t="shared" si="3"/>
        <v>0.13180221817632326</v>
      </c>
      <c r="E69" s="530">
        <f t="shared" si="4"/>
        <v>33.789119052126345</v>
      </c>
      <c r="F69" s="530">
        <f t="shared" si="5"/>
        <v>18.444880947873656</v>
      </c>
      <c r="G69" s="530">
        <f t="shared" si="6"/>
        <v>-3.643749264210383</v>
      </c>
      <c r="H69" s="530">
        <f t="shared" si="7"/>
        <v>11.960949109889114</v>
      </c>
      <c r="I69" s="530">
        <f t="shared" si="8"/>
        <v>59.188334486402255</v>
      </c>
      <c r="J69" s="530">
        <f t="shared" si="11"/>
        <v>71.691982446489376</v>
      </c>
      <c r="K69" s="530">
        <f t="shared" si="9"/>
        <v>50.079063806627374</v>
      </c>
      <c r="L69" s="556">
        <f t="shared" si="10"/>
        <v>62.832083750612632</v>
      </c>
      <c r="M69" s="557"/>
      <c r="N69" s="530">
        <f>N68+1</f>
        <v>5</v>
      </c>
      <c r="O69" s="530">
        <f>AB68</f>
        <v>2.9976137140709609</v>
      </c>
      <c r="P69" s="530">
        <f t="shared" si="17"/>
        <v>0.14348200918838369</v>
      </c>
      <c r="Q69" s="530">
        <f t="shared" si="18"/>
        <v>-0.98965292554474094</v>
      </c>
      <c r="R69" s="530">
        <f t="shared" si="19"/>
        <v>-4.5356169043409782</v>
      </c>
      <c r="S69" s="530">
        <f t="shared" si="20"/>
        <v>-6.6743111870996312</v>
      </c>
      <c r="T69" s="530">
        <f t="shared" si="21"/>
        <v>16.320490504507649</v>
      </c>
      <c r="U69" s="530">
        <f t="shared" si="22"/>
        <v>-10.858264101388317</v>
      </c>
      <c r="V69" s="530">
        <f t="shared" si="23"/>
        <v>10.021121163132602</v>
      </c>
      <c r="W69" s="530">
        <f t="shared" si="24"/>
        <v>10.858264101388315</v>
      </c>
      <c r="X69" s="530">
        <f t="shared" si="25"/>
        <v>6.6743111870996312</v>
      </c>
      <c r="Y69" s="530">
        <f t="shared" si="26"/>
        <v>-16.320490504507646</v>
      </c>
      <c r="Z69" s="530">
        <f t="shared" si="27"/>
        <v>-3.5527136788005009E-15</v>
      </c>
      <c r="AA69" s="530">
        <f t="shared" si="28"/>
        <v>-24.096367593527063</v>
      </c>
      <c r="AB69" s="530">
        <f t="shared" si="29"/>
        <v>2.9976137140709609</v>
      </c>
    </row>
    <row r="70" spans="1:28" s="513" customFormat="1">
      <c r="A70" s="530">
        <f t="shared" si="12"/>
        <v>24</v>
      </c>
      <c r="B70" s="530">
        <f t="shared" si="13"/>
        <v>360</v>
      </c>
      <c r="C70" s="530">
        <f t="shared" si="2"/>
        <v>0.14141600000000004</v>
      </c>
      <c r="D70" s="530">
        <f t="shared" si="3"/>
        <v>0.17434399999999997</v>
      </c>
      <c r="E70" s="530">
        <f t="shared" si="4"/>
        <v>34.975999999999999</v>
      </c>
      <c r="F70" s="530">
        <f t="shared" si="5"/>
        <v>17.257999999999999</v>
      </c>
      <c r="G70" s="530">
        <f t="shared" si="6"/>
        <v>-5.3153559953711849</v>
      </c>
      <c r="H70" s="530">
        <f t="shared" si="7"/>
        <v>9.3080622354698903</v>
      </c>
      <c r="I70" s="530">
        <f t="shared" si="8"/>
        <v>60.859941217563055</v>
      </c>
      <c r="J70" s="530">
        <f t="shared" si="11"/>
        <v>71.578757940359893</v>
      </c>
      <c r="K70" s="530">
        <f t="shared" si="9"/>
        <v>46.735850344305767</v>
      </c>
      <c r="L70" s="556">
        <f t="shared" si="10"/>
        <v>66.17529721293424</v>
      </c>
      <c r="M70" s="557"/>
      <c r="N70" s="530">
        <f>N69+1</f>
        <v>6</v>
      </c>
      <c r="O70" s="530">
        <f>AB69</f>
        <v>2.9976137140709609</v>
      </c>
      <c r="P70" s="530">
        <f t="shared" si="17"/>
        <v>0.14348200918838369</v>
      </c>
      <c r="Q70" s="530">
        <f t="shared" si="18"/>
        <v>-0.98965292554474094</v>
      </c>
      <c r="R70" s="530">
        <f t="shared" si="19"/>
        <v>-4.5356169043409782</v>
      </c>
      <c r="S70" s="530">
        <f t="shared" si="20"/>
        <v>-6.6743111870996312</v>
      </c>
      <c r="T70" s="530">
        <f t="shared" si="21"/>
        <v>16.320490504507649</v>
      </c>
      <c r="U70" s="530">
        <f t="shared" si="22"/>
        <v>-10.858264101388317</v>
      </c>
      <c r="V70" s="530">
        <f t="shared" si="23"/>
        <v>10.021121163132602</v>
      </c>
      <c r="W70" s="530">
        <f t="shared" si="24"/>
        <v>10.858264101388315</v>
      </c>
      <c r="X70" s="530">
        <f t="shared" si="25"/>
        <v>6.6743111870996312</v>
      </c>
      <c r="Y70" s="530">
        <f t="shared" si="26"/>
        <v>-16.320490504507646</v>
      </c>
      <c r="Z70" s="530">
        <f t="shared" si="27"/>
        <v>-3.5527136788005009E-15</v>
      </c>
      <c r="AA70" s="530">
        <f t="shared" si="28"/>
        <v>-24.096367593527063</v>
      </c>
      <c r="AB70" s="530">
        <f t="shared" si="29"/>
        <v>2.9976137140709609</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153</v>
      </c>
      <c r="C73" s="530">
        <f t="shared" ref="C73:C85" si="31">$E$19*COS(B73*PI()/180)-$E$20*SIN(B73*PI()/180)</f>
        <v>-0.20515309831121378</v>
      </c>
      <c r="D73" s="530">
        <f t="shared" ref="D73:D85" si="32">$E$19*SIN(B73*PI()/180)+$E$20*COS(B73*PI()/180)</f>
        <v>-9.1140120941929026E-2</v>
      </c>
      <c r="E73" s="530">
        <f t="shared" ref="E73:E85" si="33">$E$22*COS(B73*PI()/180)^2+$E$23*SIN(B73*PI()/180)^2</f>
        <v>31.324189550059018</v>
      </c>
      <c r="F73" s="530">
        <f t="shared" ref="F73:F85" si="34">$E$22*SIN(B73*PI()/180)^2+$E$23*COS(B73*PI()/180)^2</f>
        <v>20.909810449940981</v>
      </c>
      <c r="G73" s="530">
        <f t="shared" ref="G73:G85" si="35">($E$18*(C73+$E$28)^2-$E$18*($E$21+$E$26)^2+$E$24-E73)/2</f>
        <v>-1.6608315290592586</v>
      </c>
      <c r="H73" s="530">
        <f t="shared" ref="H73:H85" si="36">$E$18*(C73+$E$28)*($E$21+$E$26)</f>
        <v>-13.503265591448283</v>
      </c>
      <c r="I73" s="530">
        <f t="shared" ref="I73:I85" si="37">$E$18*((C73+$E$28)^2+($E$21+$E$26)^2)/2+$E$18*(D73+$E$27)^2+($E$24+E73)/2</f>
        <v>57.205416751251136</v>
      </c>
      <c r="J73" s="530">
        <f>SQRT(G73^2+H73^2)+I73</f>
        <v>70.810435788397257</v>
      </c>
      <c r="K73" s="556">
        <f>IF(G73=0,0,IF((PI()/2-ATAN2(H73,G73))/2*180/PI()&gt;90,(PI()/2-ATAN2(H73,G73))/2*180/PI()-180,(PI()/2-ATAN2(H73,G73))/2*180/PI()))</f>
        <v>-48.505933466097559</v>
      </c>
      <c r="L73" s="556">
        <f>IF(G73=0,0,SQRT(G73^2+H73^2)*SIN(2*K73*PI()/180+ATAN2(H73,G73))+I73)</f>
        <v>70.810435788397257</v>
      </c>
    </row>
    <row r="74" spans="1:28" s="513" customFormat="1">
      <c r="A74" s="530">
        <v>1</v>
      </c>
      <c r="B74" s="530">
        <f t="shared" si="30"/>
        <v>155</v>
      </c>
      <c r="C74" s="530">
        <f t="shared" si="31"/>
        <v>-0.2018473802364954</v>
      </c>
      <c r="D74" s="530">
        <f t="shared" si="32"/>
        <v>-9.8244340720794937E-2</v>
      </c>
      <c r="E74" s="530">
        <f t="shared" si="33"/>
        <v>31.811455434213052</v>
      </c>
      <c r="F74" s="530">
        <f t="shared" si="34"/>
        <v>20.42254456578695</v>
      </c>
      <c r="G74" s="530">
        <f t="shared" si="35"/>
        <v>-2.0158431066617517</v>
      </c>
      <c r="H74" s="530">
        <f t="shared" si="36"/>
        <v>-13.285681799144749</v>
      </c>
      <c r="I74" s="530">
        <f t="shared" si="37"/>
        <v>57.560428328853618</v>
      </c>
      <c r="J74" s="530">
        <f>SQRT(G74^2+H74^2)+I74</f>
        <v>70.998172347058528</v>
      </c>
      <c r="K74" s="556">
        <f t="shared" ref="K74:K85" si="38">IF(G74=0,0,IF((PI()/2-ATAN2(H74,G74))/2*180/PI()&gt;90,(PI()/2-ATAN2(H74,G74))/2*180/PI()-180,(PI()/2-ATAN2(H74,G74))/2*180/PI()))</f>
        <v>-49.313854655506219</v>
      </c>
      <c r="L74" s="556">
        <f t="shared" ref="L74:L85" si="39">IF(G74=0,0,SQRT(G74^2+H74^2)*SIN(2*K74*PI()/180+ATAN2(H74,G74))+I74)</f>
        <v>70.998172347058528</v>
      </c>
    </row>
    <row r="75" spans="1:28" s="513" customFormat="1">
      <c r="A75" s="530">
        <f>A74+1</f>
        <v>2</v>
      </c>
      <c r="B75" s="530">
        <f t="shared" si="30"/>
        <v>157</v>
      </c>
      <c r="C75" s="530">
        <f t="shared" si="31"/>
        <v>-0.19829574222116428</v>
      </c>
      <c r="D75" s="530">
        <f t="shared" si="32"/>
        <v>-0.10522886490387302</v>
      </c>
      <c r="E75" s="530">
        <f t="shared" si="33"/>
        <v>32.270978503896252</v>
      </c>
      <c r="F75" s="530">
        <f t="shared" si="34"/>
        <v>19.96302149610375</v>
      </c>
      <c r="G75" s="530">
        <f t="shared" si="35"/>
        <v>-2.363252821617758</v>
      </c>
      <c r="H75" s="530">
        <f t="shared" si="36"/>
        <v>-13.051911450071358</v>
      </c>
      <c r="I75" s="530">
        <f t="shared" si="37"/>
        <v>57.907838043809626</v>
      </c>
      <c r="J75" s="530">
        <f t="shared" ref="J75:J84" si="40">SQRT(G75^2+H75^2)+I75</f>
        <v>71.171976025577919</v>
      </c>
      <c r="K75" s="556">
        <f t="shared" si="38"/>
        <v>-50.131551876776939</v>
      </c>
      <c r="L75" s="556">
        <f t="shared" si="39"/>
        <v>71.171976025577919</v>
      </c>
    </row>
    <row r="76" spans="1:28" s="513" customFormat="1">
      <c r="A76" s="530">
        <f t="shared" ref="A76:A84" si="41">A75+1</f>
        <v>3</v>
      </c>
      <c r="B76" s="530">
        <f t="shared" si="30"/>
        <v>159</v>
      </c>
      <c r="C76" s="530">
        <f t="shared" si="31"/>
        <v>-0.19450251138905408</v>
      </c>
      <c r="D76" s="530">
        <f t="shared" si="32"/>
        <v>-0.11208518392432998</v>
      </c>
      <c r="E76" s="530">
        <f t="shared" si="33"/>
        <v>32.700520008904235</v>
      </c>
      <c r="F76" s="530">
        <f t="shared" si="34"/>
        <v>19.533479991095763</v>
      </c>
      <c r="G76" s="530">
        <f t="shared" si="35"/>
        <v>-2.7013681287175277</v>
      </c>
      <c r="H76" s="530">
        <f t="shared" si="36"/>
        <v>-12.802239357388881</v>
      </c>
      <c r="I76" s="530">
        <f t="shared" si="37"/>
        <v>58.245953350909403</v>
      </c>
      <c r="J76" s="530">
        <f t="shared" si="40"/>
        <v>71.330093457570129</v>
      </c>
      <c r="K76" s="556">
        <f t="shared" si="38"/>
        <v>-50.957526773895296</v>
      </c>
      <c r="L76" s="556">
        <f t="shared" si="39"/>
        <v>71.330093457570129</v>
      </c>
    </row>
    <row r="77" spans="1:28" s="513" customFormat="1">
      <c r="A77" s="530">
        <f t="shared" si="41"/>
        <v>4</v>
      </c>
      <c r="B77" s="530">
        <f t="shared" si="30"/>
        <v>161</v>
      </c>
      <c r="C77" s="530">
        <f t="shared" si="31"/>
        <v>-0.19047230920763156</v>
      </c>
      <c r="D77" s="530">
        <f t="shared" si="32"/>
        <v>-0.11880494441357395</v>
      </c>
      <c r="E77" s="530">
        <f t="shared" si="33"/>
        <v>33.097987266201947</v>
      </c>
      <c r="F77" s="530">
        <f t="shared" si="34"/>
        <v>19.136012733798054</v>
      </c>
      <c r="G77" s="530">
        <f t="shared" si="35"/>
        <v>-3.0285417641720862</v>
      </c>
      <c r="H77" s="530">
        <f t="shared" si="36"/>
        <v>-12.536969708083236</v>
      </c>
      <c r="I77" s="530">
        <f t="shared" si="37"/>
        <v>58.57312698636396</v>
      </c>
      <c r="J77" s="530">
        <f t="shared" si="40"/>
        <v>71.470711050006699</v>
      </c>
      <c r="K77" s="556">
        <f t="shared" si="38"/>
        <v>-51.790348815418014</v>
      </c>
      <c r="L77" s="556">
        <f t="shared" si="39"/>
        <v>71.470711050006699</v>
      </c>
    </row>
    <row r="78" spans="1:28" s="513" customFormat="1">
      <c r="A78" s="530">
        <f t="shared" si="41"/>
        <v>5</v>
      </c>
      <c r="B78" s="530">
        <f t="shared" si="30"/>
        <v>163</v>
      </c>
      <c r="C78" s="530">
        <f t="shared" si="31"/>
        <v>-0.18621004585744949</v>
      </c>
      <c r="D78" s="530">
        <f t="shared" si="32"/>
        <v>-0.12537995937854887</v>
      </c>
      <c r="E78" s="530">
        <f t="shared" si="33"/>
        <v>33.461443855265117</v>
      </c>
      <c r="F78" s="530">
        <f t="shared" si="34"/>
        <v>18.772556144734892</v>
      </c>
      <c r="G78" s="530">
        <f t="shared" si="35"/>
        <v>-3.343179770916894</v>
      </c>
      <c r="H78" s="530">
        <f t="shared" si="36"/>
        <v>-12.256425692360425</v>
      </c>
      <c r="I78" s="530">
        <f t="shared" si="37"/>
        <v>58.88776499310876</v>
      </c>
      <c r="J78" s="530">
        <f t="shared" si="40"/>
        <v>71.591969877044662</v>
      </c>
      <c r="K78" s="556">
        <f t="shared" si="38"/>
        <v>-52.628686754128523</v>
      </c>
      <c r="L78" s="556">
        <f t="shared" si="39"/>
        <v>71.591969877044662</v>
      </c>
    </row>
    <row r="79" spans="1:28" s="513" customFormat="1" ht="14.25">
      <c r="A79" s="577">
        <f t="shared" si="41"/>
        <v>6</v>
      </c>
      <c r="B79" s="577">
        <f>INDEX($B46:$B70,MATCH($J$44,$J$46:$J$70,0))</f>
        <v>165</v>
      </c>
      <c r="C79" s="577">
        <f t="shared" si="31"/>
        <v>-0.18172091424984876</v>
      </c>
      <c r="D79" s="577">
        <f t="shared" si="32"/>
        <v>-0.13180221817632318</v>
      </c>
      <c r="E79" s="577">
        <f t="shared" si="33"/>
        <v>33.789119052126345</v>
      </c>
      <c r="F79" s="577">
        <f t="shared" si="34"/>
        <v>18.44488094787366</v>
      </c>
      <c r="G79" s="577">
        <f t="shared" si="35"/>
        <v>-3.6437492642103813</v>
      </c>
      <c r="H79" s="577">
        <f t="shared" si="36"/>
        <v>-11.960949109889116</v>
      </c>
      <c r="I79" s="577">
        <f t="shared" si="37"/>
        <v>59.188334486402248</v>
      </c>
      <c r="J79" s="577">
        <f t="shared" si="40"/>
        <v>71.691982446489376</v>
      </c>
      <c r="K79" s="556">
        <f t="shared" si="38"/>
        <v>-53.471341377097431</v>
      </c>
      <c r="L79" s="556">
        <f t="shared" si="39"/>
        <v>71.691982446489376</v>
      </c>
    </row>
    <row r="80" spans="1:28" s="513" customFormat="1">
      <c r="A80" s="530">
        <f t="shared" si="41"/>
        <v>7</v>
      </c>
      <c r="B80" s="530">
        <f t="shared" ref="B80:B85" si="42">B79+2</f>
        <v>167</v>
      </c>
      <c r="C80" s="530">
        <f t="shared" si="31"/>
        <v>-0.17701038370019556</v>
      </c>
      <c r="D80" s="530">
        <f t="shared" si="32"/>
        <v>-0.13806389627382509</v>
      </c>
      <c r="E80" s="530">
        <f t="shared" si="33"/>
        <v>34.079416456164317</v>
      </c>
      <c r="F80" s="530">
        <f t="shared" si="34"/>
        <v>18.154583543835678</v>
      </c>
      <c r="G80" s="530">
        <f t="shared" si="35"/>
        <v>-3.928785899694363</v>
      </c>
      <c r="H80" s="530">
        <f t="shared" si="36"/>
        <v>-11.650899953370375</v>
      </c>
      <c r="I80" s="530">
        <f t="shared" si="37"/>
        <v>59.473371121886231</v>
      </c>
      <c r="J80" s="530">
        <f t="shared" si="40"/>
        <v>71.768851119392764</v>
      </c>
      <c r="K80" s="556">
        <f t="shared" si="38"/>
        <v>-54.317279313208402</v>
      </c>
      <c r="L80" s="556">
        <f t="shared" si="39"/>
        <v>71.768851119392764</v>
      </c>
    </row>
    <row r="81" spans="1:16" s="513" customFormat="1">
      <c r="A81" s="530">
        <f t="shared" si="41"/>
        <v>8</v>
      </c>
      <c r="B81" s="530">
        <f t="shared" si="42"/>
        <v>169</v>
      </c>
      <c r="C81" s="530">
        <f t="shared" si="31"/>
        <v>-0.17208419326436319</v>
      </c>
      <c r="D81" s="530">
        <f t="shared" si="32"/>
        <v>-0.14415736478083005</v>
      </c>
      <c r="E81" s="530">
        <f t="shared" si="33"/>
        <v>34.330921767607173</v>
      </c>
      <c r="F81" s="530">
        <f t="shared" si="34"/>
        <v>17.903078232392833</v>
      </c>
      <c r="G81" s="530">
        <f t="shared" si="35"/>
        <v>-4.1969010075325475</v>
      </c>
      <c r="H81" s="530">
        <f t="shared" si="36"/>
        <v>-11.326655969942021</v>
      </c>
      <c r="I81" s="530">
        <f t="shared" si="37"/>
        <v>59.741486229724416</v>
      </c>
      <c r="J81" s="530">
        <f t="shared" si="40"/>
        <v>71.820687922239159</v>
      </c>
      <c r="K81" s="556">
        <f t="shared" si="38"/>
        <v>-55.165667840344597</v>
      </c>
      <c r="L81" s="556">
        <f t="shared" si="39"/>
        <v>71.820687922239159</v>
      </c>
    </row>
    <row r="82" spans="1:16" s="513" customFormat="1">
      <c r="A82" s="530">
        <f t="shared" si="41"/>
        <v>9</v>
      </c>
      <c r="B82" s="530">
        <f t="shared" si="42"/>
        <v>171</v>
      </c>
      <c r="C82" s="530">
        <f t="shared" si="31"/>
        <v>-0.16694834474657602</v>
      </c>
      <c r="D82" s="530">
        <f t="shared" si="32"/>
        <v>-0.15007519974458938</v>
      </c>
      <c r="E82" s="530">
        <f t="shared" si="33"/>
        <v>34.542409677858764</v>
      </c>
      <c r="F82" s="530">
        <f t="shared" si="34"/>
        <v>17.691590322141231</v>
      </c>
      <c r="G82" s="530">
        <f t="shared" si="35"/>
        <v>-4.4467883578703784</v>
      </c>
      <c r="H82" s="530">
        <f t="shared" si="36"/>
        <v>-10.988612200951888</v>
      </c>
      <c r="I82" s="530">
        <f t="shared" si="37"/>
        <v>59.991373580062252</v>
      </c>
      <c r="J82" s="530">
        <f t="shared" si="40"/>
        <v>71.845635463562218</v>
      </c>
      <c r="K82" s="556">
        <f t="shared" si="38"/>
        <v>-56.015910869804642</v>
      </c>
      <c r="L82" s="556">
        <f t="shared" si="39"/>
        <v>71.845635463562218</v>
      </c>
    </row>
    <row r="83" spans="1:16" s="513" customFormat="1">
      <c r="A83" s="530">
        <f t="shared" si="41"/>
        <v>10</v>
      </c>
      <c r="B83" s="530">
        <f t="shared" si="42"/>
        <v>173</v>
      </c>
      <c r="C83" s="530">
        <f t="shared" si="31"/>
        <v>-0.16160909538713622</v>
      </c>
      <c r="D83" s="530">
        <f t="shared" si="32"/>
        <v>-0.1558101911947723</v>
      </c>
      <c r="E83" s="530">
        <f t="shared" si="33"/>
        <v>34.712849839079048</v>
      </c>
      <c r="F83" s="530">
        <f t="shared" si="34"/>
        <v>17.521150160920946</v>
      </c>
      <c r="G83" s="530">
        <f t="shared" si="35"/>
        <v>-4.6772305246556041</v>
      </c>
      <c r="H83" s="530">
        <f t="shared" si="36"/>
        <v>-10.637180500660842</v>
      </c>
      <c r="I83" s="530">
        <f t="shared" si="37"/>
        <v>60.221815746847469</v>
      </c>
      <c r="J83" s="530">
        <f t="shared" si="40"/>
        <v>71.841888654725864</v>
      </c>
      <c r="K83" s="556">
        <f t="shared" si="38"/>
        <v>-56.867686583805806</v>
      </c>
      <c r="L83" s="556">
        <f t="shared" si="39"/>
        <v>71.841888654725864</v>
      </c>
    </row>
    <row r="84" spans="1:16" s="513" customFormat="1">
      <c r="A84" s="530">
        <f t="shared" si="41"/>
        <v>11</v>
      </c>
      <c r="B84" s="530">
        <f t="shared" si="42"/>
        <v>175</v>
      </c>
      <c r="C84" s="530">
        <f t="shared" si="31"/>
        <v>-0.15607295023894008</v>
      </c>
      <c r="D84" s="530">
        <f t="shared" si="32"/>
        <v>-0.16135535192770439</v>
      </c>
      <c r="E84" s="530">
        <f t="shared" si="33"/>
        <v>34.841411883935152</v>
      </c>
      <c r="F84" s="530">
        <f t="shared" si="34"/>
        <v>17.39258811606485</v>
      </c>
      <c r="G84" s="530">
        <f t="shared" si="35"/>
        <v>-4.8871048168156097</v>
      </c>
      <c r="H84" s="530">
        <f t="shared" si="36"/>
        <v>-10.272789034461795</v>
      </c>
      <c r="I84" s="530">
        <f t="shared" si="37"/>
        <v>60.431690039007485</v>
      </c>
      <c r="J84" s="530">
        <f t="shared" si="40"/>
        <v>71.807716939340523</v>
      </c>
      <c r="K84" s="556">
        <f t="shared" si="38"/>
        <v>-57.720987568616508</v>
      </c>
      <c r="L84" s="556">
        <f t="shared" si="39"/>
        <v>71.807716939340523</v>
      </c>
    </row>
    <row r="85" spans="1:16" s="513" customFormat="1">
      <c r="A85" s="530">
        <f>A84+1</f>
        <v>12</v>
      </c>
      <c r="B85" s="530">
        <f t="shared" si="42"/>
        <v>177</v>
      </c>
      <c r="C85" s="530">
        <f t="shared" si="31"/>
        <v>-0.15034665424207258</v>
      </c>
      <c r="D85" s="530">
        <f t="shared" si="32"/>
        <v>-0.16670392601919928</v>
      </c>
      <c r="E85" s="530">
        <f t="shared" si="33"/>
        <v>34.927469471067525</v>
      </c>
      <c r="F85" s="530">
        <f t="shared" si="34"/>
        <v>17.306530528932463</v>
      </c>
      <c r="G85" s="530">
        <f t="shared" si="35"/>
        <v>-5.0753887478954809</v>
      </c>
      <c r="H85" s="530">
        <f t="shared" si="36"/>
        <v>-9.8958817572260891</v>
      </c>
      <c r="I85" s="530">
        <f t="shared" si="37"/>
        <v>60.619973970087344</v>
      </c>
      <c r="J85" s="530">
        <f>SQRT(G85^2+H85^2)+I85</f>
        <v>71.741486758160022</v>
      </c>
      <c r="K85" s="556">
        <f t="shared" si="38"/>
        <v>-58.57616473193562</v>
      </c>
      <c r="L85" s="556">
        <f t="shared" si="39"/>
        <v>71.741486758160022</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171.75061442680155</v>
      </c>
      <c r="C89" s="530">
        <f>$E$19*COS(B89*PI()/180)-$E$20*SIN(B89*PI()/180)</f>
        <v>-0.1649679855287747</v>
      </c>
      <c r="D89" s="530">
        <f>$E$19*SIN(B89*PI()/180)+$E$20*COS(B89*PI()/180)</f>
        <v>-0.15224939783978778</v>
      </c>
      <c r="E89" s="530">
        <f>$E$22*COS(B89*PI()/180)^2+$E$23*SIN(B89*PI()/180)^2</f>
        <v>34.611237993229693</v>
      </c>
      <c r="F89" s="556">
        <f>$E$22*SIN(B89*PI()/180)^2+$E$23*COS(B89*PI()/180)^2</f>
        <v>17.622762006770316</v>
      </c>
      <c r="G89" s="530">
        <f>($E$18*(C89+$E$28)^2-$E$18*($E$21+$E$26)^2+$E$24-E89)/2</f>
        <v>-4.5356169043409764</v>
      </c>
      <c r="H89" s="530">
        <f>$E$18*(C89+$E$28)*($E$21+$E$26)</f>
        <v>-10.858264101388322</v>
      </c>
      <c r="I89" s="530">
        <f>$E$18*((C89+$E$28)^2+($E$21+$E$26)^2)/2+$E$18*(D89+$E$27)^2+($E$24+E89)/2</f>
        <v>60.080202126532853</v>
      </c>
      <c r="J89" s="583">
        <f>SQRT(G89^2+H89^2)+I89</f>
        <v>71.847687839226197</v>
      </c>
      <c r="K89" s="545">
        <f>$E$18*((C89+$E$28)^2+($E$21+$E$26)^2)+F89</f>
        <v>48.295328526366191</v>
      </c>
      <c r="L89" s="545">
        <f>$E$18*(D89^2+($E$21+$E$26)^2)+E89</f>
        <v>64.615819030873823</v>
      </c>
      <c r="N89" s="530">
        <f>IF(G89=0,0,IF((PI()/2-ATAN2(H89,G89))/2*180/PI()&gt;90,(PI()/2-ATAN2(H89,G89))/2*180/PI()-180,(PI()/2-ATAN2(H89,G89))/2*180/PI()))</f>
        <v>-56.335416465254852</v>
      </c>
      <c r="O89" s="530">
        <f>IF(G89=0,0,SQRT(G89^2+H89^2)*SIN(2*N89*PI()/180+ATAN2(H89,G89))+I89)</f>
        <v>71.847687839226197</v>
      </c>
      <c r="P89" s="584"/>
    </row>
    <row r="90" spans="1:16" s="513" customFormat="1" ht="14.25">
      <c r="A90" s="550" t="s">
        <v>1584</v>
      </c>
      <c r="B90" s="583">
        <f>N46</f>
        <v>101.39057909898371</v>
      </c>
      <c r="C90" s="530">
        <f>$E$19*COS(B90*PI()/180)-$E$20*SIN(B90*PI()/180)</f>
        <v>-0.19883917791188216</v>
      </c>
      <c r="D90" s="556">
        <f>$E$19*SIN(B90*PI()/180)+$E$20*COS(B90*PI()/180)</f>
        <v>0.1041983527668594</v>
      </c>
      <c r="E90" s="556">
        <f>$E$22*COS(B90*PI()/180)^2+$E$23*SIN(B90*PI()/180)^2</f>
        <v>17.949085834359181</v>
      </c>
      <c r="F90" s="530">
        <f>$E$22*SIN(B90*PI()/180)^2+$E$23*COS(B90*PI()/180)^2</f>
        <v>34.284914165640828</v>
      </c>
      <c r="G90" s="556">
        <f>($E$18*(C90+$E$28)^2-$E$18*($E$21+$E$26)^2+$E$24-E90)/2</f>
        <v>4.8155595158382756</v>
      </c>
      <c r="H90" s="556">
        <f>$E$18*(C90+$E$28)*($E$21+$E$26)</f>
        <v>-13.087680622089923</v>
      </c>
      <c r="I90" s="556">
        <f>$E$18*((C90+$E$28)^2+($E$21+$E$26)^2)/2+$E$18*(D90+$E$27)^2+($E$24+E90)/2</f>
        <v>50.729025706353596</v>
      </c>
      <c r="J90" s="556">
        <f>SQRT(G90^2+H90^2)+I90</f>
        <v>64.674526683959556</v>
      </c>
      <c r="K90" s="583">
        <f>$E$18*((C90+$E$28)^2+($E$21+$E$26)^2)+F90</f>
        <v>66.997681366724692</v>
      </c>
      <c r="L90" s="545">
        <f>$E$18*(D90^2+($E$21+$E$26)^2)+E90</f>
        <v>45.913466190515322</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214</v>
      </c>
      <c r="D2" s="4" t="str">
        <f>'Misc Data'!C26</f>
        <v>M-900iA/260L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M-900iA/260L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155</v>
      </c>
      <c r="D6" s="185">
        <f>VLOOKUP($C$2,J3J6Table,4,FALSE)</f>
        <v>25</v>
      </c>
      <c r="E6" s="185">
        <f>VLOOKUP($C$2,J3J6Table,5,FALSE)</f>
        <v>130</v>
      </c>
      <c r="F6" s="343">
        <f>VLOOKUP($C$2,J3J6Table,6,FALSE)</f>
        <v>260</v>
      </c>
      <c r="G6" s="343">
        <f>VLOOKUP($C$2,J3J6Table,7,FALSE)</f>
        <v>264</v>
      </c>
      <c r="H6" s="185">
        <f>VLOOKUP($C$2,J3J6Table,8,FALSE)</f>
        <v>1</v>
      </c>
      <c r="J6" s="343">
        <f>C6</f>
        <v>155</v>
      </c>
      <c r="K6" s="343">
        <f>IF(H6=3,C6/(E6-G6),(D6-C6)/(F6-E6))</f>
        <v>-1</v>
      </c>
      <c r="L6" s="344">
        <f>-(K6*E6-C6)</f>
        <v>285</v>
      </c>
      <c r="M6" s="343">
        <f>IF(H6=1,-D6/(G6-F6),"-")</f>
        <v>-6.25</v>
      </c>
      <c r="N6" s="343">
        <f>IF(H6=1,-(M6*F6-D6),"-")</f>
        <v>1650</v>
      </c>
    </row>
    <row r="7" spans="1:14">
      <c r="J7" s="180" t="s">
        <v>352</v>
      </c>
      <c r="K7" s="180" t="s">
        <v>2781</v>
      </c>
      <c r="M7" s="182" t="s">
        <v>3188</v>
      </c>
    </row>
    <row r="8" spans="1:14">
      <c r="A8" s="187" t="s">
        <v>2190</v>
      </c>
      <c r="B8" s="189" t="s">
        <v>2122</v>
      </c>
      <c r="C8" s="190">
        <f>Anal_Input_8</f>
        <v>15</v>
      </c>
      <c r="J8" s="189">
        <f>+E6</f>
        <v>130</v>
      </c>
      <c r="K8" s="189">
        <f>+(C8-L6)/K6</f>
        <v>270</v>
      </c>
      <c r="L8" s="185"/>
      <c r="M8" s="189">
        <f>+(C8-N6)/M6</f>
        <v>261.60000000000002</v>
      </c>
    </row>
    <row r="9" spans="1:14">
      <c r="E9" s="175" t="s">
        <v>347</v>
      </c>
      <c r="F9" s="175">
        <v>1</v>
      </c>
      <c r="G9" s="175">
        <v>2</v>
      </c>
      <c r="H9" s="175">
        <v>3</v>
      </c>
    </row>
    <row r="10" spans="1:14">
      <c r="A10" s="187" t="s">
        <v>2191</v>
      </c>
      <c r="B10" s="189" t="s">
        <v>2192</v>
      </c>
      <c r="C10" s="185">
        <f>IF(H6=1,F10,IF(H6=2,$G10,IF(H6=3,H10,IF(H6="-",E10))))</f>
        <v>261.60000000000002</v>
      </c>
      <c r="E10" s="189">
        <f>VLOOKUP(Anal_Robot_Code,Table1,12,TRUE)</f>
        <v>260</v>
      </c>
      <c r="F10" s="185">
        <f>IF($C8&gt;$C6,0,IF($C8&gt;$D6,$K8,IF($C8&lt;=$D6,$M8,"NG")))</f>
        <v>261.60000000000002</v>
      </c>
      <c r="G10" s="185">
        <f>IF($C8&gt;$C6,0,IF($C8&gt;$D6,$K8,IF($C8&lt;=$D6,$F6,"NG")))</f>
        <v>260</v>
      </c>
      <c r="H10" s="185">
        <f>IF($C8&gt;$C6,0,IF($C8&gt;=0,$K8))</f>
        <v>270</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111</v>
      </c>
      <c r="F22" s="195">
        <f>J36</f>
        <v>155</v>
      </c>
      <c r="G22" s="195">
        <f>K36*C17+L36</f>
        <v>111</v>
      </c>
      <c r="H22" s="195">
        <f>IF(N34, M36*C17+N36, 0)</f>
        <v>562.5</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260</v>
      </c>
      <c r="D27" s="200">
        <f>G36</f>
        <v>264</v>
      </c>
      <c r="E27" s="200">
        <f>IF(H36=3, 0, D36)</f>
        <v>25</v>
      </c>
      <c r="F27" s="200">
        <f>C22</f>
        <v>111</v>
      </c>
      <c r="G27" s="185">
        <v>1</v>
      </c>
      <c r="H27" s="185" t="s">
        <v>138</v>
      </c>
    </row>
    <row r="28" spans="2:14">
      <c r="B28" s="189" t="s">
        <v>1702</v>
      </c>
      <c r="C28" s="201">
        <f>C17/C27</f>
        <v>0.66923076923076918</v>
      </c>
      <c r="D28" s="201">
        <f>C17/D27</f>
        <v>0.65909090909090906</v>
      </c>
      <c r="E28" s="201">
        <f>IF( E27&gt; 0, D17/E27, NA())</f>
        <v>0.12</v>
      </c>
      <c r="F28" s="201">
        <f>IF( F27&gt; 0, D17/F27, NA())</f>
        <v>2.7027027027027029E-2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261.60000000000002</v>
      </c>
      <c r="K29" s="185">
        <f>VLOOKUP(Anal_Robot_Code,Table1,12,TRUE)</f>
        <v>260</v>
      </c>
      <c r="L29" s="185">
        <f>IF($C8&gt;$C36,0,IF($C8&gt;$D36,$K32,IF($C8&lt;=$D36,$M32,"NG")))</f>
        <v>261.60000000000002</v>
      </c>
      <c r="M29" s="185">
        <f>IF($C8&gt;$C36,0,IF($C8&gt;$D36,$K32,IF($C8&lt;=$D36,$F36,"NG")))</f>
        <v>260</v>
      </c>
      <c r="N29" s="185">
        <f>IF($C8&gt;$C36,0,IF($C8&gt;=0,$K32))</f>
        <v>270</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130</v>
      </c>
      <c r="K32" s="185">
        <f>+(C8-L36)/K36</f>
        <v>270</v>
      </c>
      <c r="L32" s="185"/>
      <c r="M32" s="185">
        <f>+(C8-N36)/M36</f>
        <v>261.60000000000002</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M-900iA/260L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155</v>
      </c>
      <c r="D36" s="185">
        <f>VLOOKUP($C$2,J3J6Table,4,FALSE)</f>
        <v>25</v>
      </c>
      <c r="E36" s="185">
        <f>VLOOKUP($C$2,J3J6Table,5,FALSE)</f>
        <v>130</v>
      </c>
      <c r="F36" s="185">
        <f>VLOOKUP($C$2,J3J6Table,6,FALSE)</f>
        <v>260</v>
      </c>
      <c r="G36" s="185">
        <f>VLOOKUP($C$2,J3J6Table,7,FALSE)</f>
        <v>264</v>
      </c>
      <c r="H36" s="185">
        <f>VLOOKUP($C$2,J3J6Table,8,FALSE)</f>
        <v>1</v>
      </c>
      <c r="J36" s="185">
        <f>VLOOKUP($C$2,J3J6Table,10,FALSE)</f>
        <v>155</v>
      </c>
      <c r="K36" s="185">
        <f>VLOOKUP($C$2,J3J6Table,11,FALSE)</f>
        <v>-1</v>
      </c>
      <c r="L36" s="185">
        <f>VLOOKUP($C$2,J3J6Table,12,FALSE)</f>
        <v>285</v>
      </c>
      <c r="M36" s="185">
        <f>VLOOKUP($C$2,J3J6Table,13,FALSE)</f>
        <v>-6.25</v>
      </c>
      <c r="N36" s="185">
        <f>VLOOKUP($C$2,J3J6Table,14,FALSE)</f>
        <v>1650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214</v>
      </c>
      <c r="D3" s="4" t="str">
        <f>'Misc Data'!C26</f>
        <v>M-900iA/260L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0.22448678222113658</v>
      </c>
      <c r="P5" s="8"/>
      <c r="Q5" s="3" t="s">
        <v>91</v>
      </c>
      <c r="R5" s="8"/>
    </row>
    <row r="6" spans="1:18" ht="14.1" customHeight="1">
      <c r="B6" s="12" t="s">
        <v>427</v>
      </c>
      <c r="C6" s="66">
        <f>VLOOKUP($C$3,Table1,12)</f>
        <v>260</v>
      </c>
      <c r="D6" s="62">
        <f>HLOOKUP($C$4,$E$4:$H$12,3)</f>
        <v>165.566</v>
      </c>
      <c r="E6" s="62">
        <f>'Payload Input'!$E$18</f>
        <v>165.566</v>
      </c>
      <c r="F6" s="62">
        <f>'Payload Input'!$E$18</f>
        <v>165.566</v>
      </c>
      <c r="G6" s="126">
        <f>IF(('Misc Data'!$B$11=3),Anal_Input_1, 0)</f>
        <v>0</v>
      </c>
      <c r="H6" s="133">
        <f>I6</f>
        <v>0</v>
      </c>
      <c r="I6" s="134">
        <f>IF(('Misc Data'!$B$11=4),Anal_Input_1, 0)</f>
        <v>0</v>
      </c>
      <c r="K6" s="45"/>
      <c r="L6" s="46"/>
      <c r="M6" s="129"/>
      <c r="N6" s="335" t="s">
        <v>840</v>
      </c>
      <c r="O6" s="46">
        <f>'Payload Input'!$E$21+'Payload Input'!$E$26</f>
        <v>0.39754800000000001</v>
      </c>
      <c r="Q6" s="29" t="s">
        <v>427</v>
      </c>
      <c r="R6" s="378">
        <f>D6</f>
        <v>165.566</v>
      </c>
    </row>
    <row r="7" spans="1:18" ht="14.1" customHeight="1">
      <c r="B7" s="12" t="s">
        <v>364</v>
      </c>
      <c r="C7" s="66">
        <f>VLOOKUP($C$3,Table1,6)</f>
        <v>1666</v>
      </c>
      <c r="D7" s="62">
        <f>IF(OR(Anal_Robot_Code=10111,Anal_Robot_Code=10214,Anal_Robot_Code=10215),"-",HLOOKUP($C$4,$E$4:$H$12,4))</f>
        <v>740.77520788301183</v>
      </c>
      <c r="E7" s="62">
        <f>'Payload Input'!$E$31</f>
        <v>740.77520788301183</v>
      </c>
      <c r="F7" s="62">
        <f>'Payload Input'!$E$31</f>
        <v>740.77520788301183</v>
      </c>
      <c r="G7" s="126">
        <f>IF(('Misc Data'!$B$11=3),Anal_Input_2, 0)</f>
        <v>0</v>
      </c>
      <c r="H7" s="133">
        <f>I7</f>
        <v>0</v>
      </c>
      <c r="I7" s="134">
        <f>IF(('Misc Data'!$B$11=4),Anal_Input_2, 0)</f>
        <v>0</v>
      </c>
      <c r="K7" s="45" t="s">
        <v>1564</v>
      </c>
      <c r="L7" s="46">
        <f>D8*SIN(RADIANS(O10))</f>
        <v>364.24031013520209</v>
      </c>
      <c r="N7" s="335" t="s">
        <v>3494</v>
      </c>
      <c r="O7" s="46">
        <f>DEGREES(IF(O6=0,0,ATAN2(O6,O5)))</f>
        <v>29.452480307814231</v>
      </c>
      <c r="Q7" s="29" t="s">
        <v>364</v>
      </c>
      <c r="R7" s="29">
        <f>IF(Axis_Type&lt;&gt;2,D7,IF(Wrist_Down_Fix=1,L7,D8))</f>
        <v>740.77520788301183</v>
      </c>
    </row>
    <row r="8" spans="1:18" ht="14.1" customHeight="1">
      <c r="A8" s="3"/>
      <c r="B8" s="12" t="s">
        <v>365</v>
      </c>
      <c r="C8" s="66">
        <f>VLOOKUP($C$3,Table1,7)</f>
        <v>1666</v>
      </c>
      <c r="D8" s="62">
        <f>HLOOKUP($C$4,$E$4:$H$12,5)</f>
        <v>740.77520788301183</v>
      </c>
      <c r="E8" s="62">
        <f>'Payload Input'!$E$32</f>
        <v>740.77520788301183</v>
      </c>
      <c r="F8" s="62">
        <f>'Payload Input'!$E$32</f>
        <v>740.77520788301183</v>
      </c>
      <c r="G8" s="126">
        <f>IF(('Misc Data'!$B$11=3),Anal_Input_3, 0)</f>
        <v>0</v>
      </c>
      <c r="H8" s="133">
        <f>I8</f>
        <v>0</v>
      </c>
      <c r="I8" s="134">
        <f>IF(('Misc Data'!$B$11=4),Anal_Input_3, 0)</f>
        <v>0</v>
      </c>
      <c r="K8" s="45" t="s">
        <v>3182</v>
      </c>
      <c r="L8" s="46">
        <f>D9*SIN(RADIANS(L5))</f>
        <v>0</v>
      </c>
      <c r="N8" s="335" t="s">
        <v>1493</v>
      </c>
      <c r="O8" s="46">
        <f>O7+L5</f>
        <v>29.452480307814231</v>
      </c>
      <c r="Q8" s="29" t="s">
        <v>365</v>
      </c>
      <c r="R8" s="29">
        <f>IF(Axis_Type&lt;&gt;2,D8,IF(Wrist_Down_Fix=1,L8,D9))</f>
        <v>740.77520788301183</v>
      </c>
    </row>
    <row r="9" spans="1:18" ht="14.1" customHeight="1">
      <c r="B9" s="12" t="s">
        <v>366</v>
      </c>
      <c r="C9" s="66">
        <f>VLOOKUP($C$3,Table1,8)</f>
        <v>715.4</v>
      </c>
      <c r="D9" s="62">
        <f>HLOOKUP($C$4,$E$4:$H$12,6)</f>
        <v>364.24031013520204</v>
      </c>
      <c r="E9" s="62">
        <f>'Payload Input'!$E$33</f>
        <v>364.24031013520204</v>
      </c>
      <c r="F9" s="62">
        <f>'Payload Input'!$E$33</f>
        <v>364.24031013520204</v>
      </c>
      <c r="G9" s="126">
        <f>IF(('Misc Data'!$B$11=3),Anal_Input_4, 0)</f>
        <v>0</v>
      </c>
      <c r="H9" s="133">
        <f>I9</f>
        <v>0</v>
      </c>
      <c r="I9" s="134">
        <f>IF(('Misc Data'!$B$11=4),Anal_Input_4, 0)</f>
        <v>0</v>
      </c>
      <c r="K9" s="45"/>
      <c r="L9" s="46"/>
      <c r="N9" s="335" t="s">
        <v>2815</v>
      </c>
      <c r="O9" s="46">
        <f>O7-L5</f>
        <v>29.452480307814231</v>
      </c>
      <c r="Q9" s="29" t="s">
        <v>366</v>
      </c>
      <c r="R9" s="29">
        <f>IF(Axis_Count=1,0,D9)</f>
        <v>364.24031013520204</v>
      </c>
    </row>
    <row r="10" spans="1:18" ht="14.1" customHeight="1" thickBot="1">
      <c r="B10" s="12" t="s">
        <v>1914</v>
      </c>
      <c r="C10" s="66">
        <f>VLOOKUP($C$3,Table1,9)</f>
        <v>188.2</v>
      </c>
      <c r="D10" s="62">
        <f>HLOOKUP($C$4,$E$4:$H$12,7)</f>
        <v>71.847687839226197</v>
      </c>
      <c r="E10" s="62">
        <f>'Payload Input'!$E$36</f>
        <v>71.847687839226197</v>
      </c>
      <c r="F10" s="62">
        <f>'Payload Input'!$E$36</f>
        <v>71.847687839226197</v>
      </c>
      <c r="G10" s="126">
        <f>IF(('Misc Data'!$B$11=3),Anal_Input_5, 0)</f>
        <v>0</v>
      </c>
      <c r="H10" s="133">
        <f>I10/H13</f>
        <v>0</v>
      </c>
      <c r="I10" s="134">
        <f>IF(('Misc Data'!$B$11=4),Anal_Input_5, 0)</f>
        <v>0</v>
      </c>
      <c r="K10" s="45" t="s">
        <v>1599</v>
      </c>
      <c r="L10" s="336">
        <f>D11</f>
        <v>66.997681366724692</v>
      </c>
      <c r="N10" s="381" t="s">
        <v>882</v>
      </c>
      <c r="O10" s="48">
        <f>IF(O9&lt;=90,IF(90&lt;=O8,90,O8),O9)</f>
        <v>29.452480307814231</v>
      </c>
      <c r="Q10" s="29" t="s">
        <v>1914</v>
      </c>
      <c r="R10" s="29">
        <f>IF(Axis_Type&lt;&gt;2,D10,IF(Wrist_Down_Fix=1,L10,D11))</f>
        <v>71.847687839226197</v>
      </c>
    </row>
    <row r="11" spans="1:18" ht="14.1" customHeight="1">
      <c r="B11" s="12" t="s">
        <v>1915</v>
      </c>
      <c r="C11" s="66">
        <f>VLOOKUP($C$3,Table1,10)</f>
        <v>188.2</v>
      </c>
      <c r="D11" s="62">
        <f>HLOOKUP($C$4,$E$4:$H$12,8)</f>
        <v>66.997681366724692</v>
      </c>
      <c r="E11" s="62">
        <f>'Payload Input'!$E$37</f>
        <v>66.997681366724692</v>
      </c>
      <c r="F11" s="62">
        <f>'Payload Input'!$E$37</f>
        <v>66.997681366724692</v>
      </c>
      <c r="G11" s="126">
        <f>IF(('Misc Data'!$B$11=3),Anal_Input_6, 0)</f>
        <v>0</v>
      </c>
      <c r="H11" s="133">
        <f>I11/H13</f>
        <v>0</v>
      </c>
      <c r="I11" s="134">
        <f>IF(('Misc Data'!$B$11=4),Anal_Input_6, 0)</f>
        <v>0</v>
      </c>
      <c r="K11" s="45" t="s">
        <v>1060</v>
      </c>
      <c r="L11" s="336">
        <f>D12</f>
        <v>55.54458522219187</v>
      </c>
      <c r="N11" s="129"/>
      <c r="Q11" s="29" t="s">
        <v>1915</v>
      </c>
      <c r="R11" s="29">
        <f>IF(Axis_Type&lt;&gt;2,D11,IF(Wrist_Down_Fix=1,L11,D12))</f>
        <v>66.997681366724692</v>
      </c>
    </row>
    <row r="12" spans="1:18" s="17" customFormat="1" ht="14.1" customHeight="1" thickBot="1">
      <c r="A12" s="4"/>
      <c r="B12" s="14" t="s">
        <v>554</v>
      </c>
      <c r="C12" s="67">
        <f>VLOOKUP($C$3,Table1,11)</f>
        <v>117.6</v>
      </c>
      <c r="D12" s="79">
        <f>HLOOKUP($C$4,$E$4:$H$12,9)</f>
        <v>55.54458522219187</v>
      </c>
      <c r="E12" s="63">
        <f>'Payload Input'!$E$38</f>
        <v>55.54458522219187</v>
      </c>
      <c r="F12" s="63">
        <f>'Payload Input'!$E$38</f>
        <v>55.54458522219187</v>
      </c>
      <c r="G12" s="127">
        <f>IF(('Misc Data'!$B$11=3),Anal_Input_7, 0)</f>
        <v>0</v>
      </c>
      <c r="H12" s="135">
        <f>I12/H13</f>
        <v>0</v>
      </c>
      <c r="I12" s="136">
        <f>IF(('Misc Data'!$B$11=4),Anal_Input_7, 0)</f>
        <v>0</v>
      </c>
      <c r="K12" s="47"/>
      <c r="L12" s="337"/>
      <c r="M12" s="4"/>
      <c r="N12" s="129"/>
      <c r="O12" s="4"/>
      <c r="P12" s="4"/>
      <c r="Q12" s="29" t="s">
        <v>554</v>
      </c>
      <c r="R12" s="29">
        <f>IF(Axis_Count=1,0,D12)</f>
        <v>55.54458522219187</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63.300000000000004</v>
      </c>
      <c r="I20" s="129"/>
      <c r="K20" s="3"/>
      <c r="L20" s="129"/>
      <c r="O20" s="129"/>
      <c r="Q20" s="29" t="s">
        <v>310</v>
      </c>
      <c r="R20" s="331">
        <f>D20</f>
        <v>63.300000000000004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44</v>
      </c>
      <c r="E22" s="292">
        <f>TRUNC(D8/$C$7*100,0)</f>
        <v>44</v>
      </c>
      <c r="F22" s="292">
        <f>TRUNC(L7/$C$7*100,0)</f>
        <v>21</v>
      </c>
      <c r="I22" s="383" t="s">
        <v>493</v>
      </c>
      <c r="L22" s="129"/>
      <c r="N22" s="288"/>
      <c r="O22" s="129"/>
      <c r="Q22" s="49" t="s">
        <v>490</v>
      </c>
      <c r="R22" s="49">
        <f>IF(OR(Anal_Robot_Code=10111,Anal_Robot_Code=10214,Anal_Robot_Code=10215),I22,IF(Axis_Type&lt;&gt;2,D22,IF(Wrist_Down_Fix=1,F22,E22)))</f>
        <v>44</v>
      </c>
    </row>
    <row r="23" spans="1:18" s="3" customFormat="1" ht="14.1" customHeight="1">
      <c r="A23" s="4"/>
      <c r="B23" s="12" t="s">
        <v>491</v>
      </c>
      <c r="C23" s="59"/>
      <c r="D23" s="291">
        <f>IF(Wrist_Down_Fix=1,IF(C8&lt;D8,101,0),TRUNC(D8/$C$8*100,0))</f>
        <v>44</v>
      </c>
      <c r="E23" s="292">
        <f>TRUNC(D9/$C$8*100,0)</f>
        <v>21</v>
      </c>
      <c r="F23" s="292">
        <v>0</v>
      </c>
      <c r="G23" s="383" t="str">
        <f>IF(D23=0,"-","∞")</f>
        <v>∞</v>
      </c>
      <c r="H23" s="4"/>
      <c r="I23" s="4"/>
      <c r="J23" s="4"/>
      <c r="K23" s="4"/>
      <c r="L23" s="129"/>
      <c r="M23" s="4"/>
      <c r="N23" s="4"/>
      <c r="O23" s="129"/>
      <c r="P23" s="4"/>
      <c r="Q23" s="50" t="s">
        <v>491</v>
      </c>
      <c r="R23" s="49">
        <f>IF(Axis_Type&lt;&gt;2,IF(Wrist_Down_Fix=1,G23,D23),IF(Wrist_Down_Fix=1,F23,E23))</f>
        <v>44</v>
      </c>
    </row>
    <row r="24" spans="1:18" ht="14.1" customHeight="1" thickBot="1">
      <c r="B24" s="14" t="s">
        <v>492</v>
      </c>
      <c r="C24" s="60"/>
      <c r="D24" s="275">
        <f>TRUNC(D9/$C$9*100,0)</f>
        <v>50</v>
      </c>
      <c r="L24" s="129"/>
      <c r="N24" s="353"/>
      <c r="O24" s="129"/>
      <c r="Q24" s="42" t="s">
        <v>492</v>
      </c>
      <c r="R24" s="49">
        <f>IF(Axis_Count=1,0,D24)</f>
        <v>50</v>
      </c>
    </row>
    <row r="25" spans="1:18" ht="14.1" customHeight="1">
      <c r="A25" s="3"/>
      <c r="B25" s="25" t="s">
        <v>451</v>
      </c>
      <c r="C25" s="26"/>
      <c r="D25" s="276"/>
      <c r="K25" s="3"/>
      <c r="O25" s="129"/>
      <c r="Q25" s="338" t="s">
        <v>869</v>
      </c>
      <c r="R25" s="65"/>
    </row>
    <row r="26" spans="1:18" ht="14.1" customHeight="1">
      <c r="A26" s="3"/>
      <c r="B26" s="12" t="s">
        <v>490</v>
      </c>
      <c r="C26" s="59">
        <f>ROUND(C10/$G73*100,)</f>
        <v>62</v>
      </c>
      <c r="D26" s="291">
        <f>ROUNDUP(D10/$C10*100,1)</f>
        <v>38.200000000000003</v>
      </c>
      <c r="E26" s="292">
        <f>ROUNDUP(D11/$C10*100,1)</f>
        <v>35.6</v>
      </c>
      <c r="F26" s="292">
        <f>ROUNDUP(L10/$C$10*100,1)</f>
        <v>35.6</v>
      </c>
      <c r="L26" s="129"/>
      <c r="O26" s="129"/>
      <c r="Q26" s="49" t="s">
        <v>490</v>
      </c>
      <c r="R26" s="49">
        <f>IF(Axis_Type&lt;&gt;2,D26,IF(Wrist_Down_Fix=1,F26,E26))</f>
        <v>38.200000000000003</v>
      </c>
    </row>
    <row r="27" spans="1:18" ht="14.1" customHeight="1">
      <c r="B27" s="12" t="s">
        <v>491</v>
      </c>
      <c r="C27" s="59">
        <f>ROUND(C11/$G74*100,)</f>
        <v>61</v>
      </c>
      <c r="D27" s="291">
        <f>ROUNDUP(D11/$C11*100,1)</f>
        <v>35.6</v>
      </c>
      <c r="E27" s="292">
        <f>ROUNDUP(D12/$C11*100,1)</f>
        <v>29.6</v>
      </c>
      <c r="F27" s="292">
        <f>ROUNDUP(L11/$C11*100,1)</f>
        <v>29.6</v>
      </c>
      <c r="L27" s="129"/>
      <c r="O27" s="129"/>
      <c r="Q27" s="50" t="s">
        <v>491</v>
      </c>
      <c r="R27" s="49">
        <f>IF(Axis_Type&lt;&gt;2,D27,IF(Wrist_Down_Fix=1,F27,E27))</f>
        <v>35.6</v>
      </c>
    </row>
    <row r="28" spans="1:18" s="17" customFormat="1" ht="14.1" customHeight="1" thickBot="1">
      <c r="A28" s="4"/>
      <c r="B28" s="14" t="s">
        <v>492</v>
      </c>
      <c r="C28" s="60">
        <f>ROUND(C12/$G75*100,)</f>
        <v>97</v>
      </c>
      <c r="D28" s="275">
        <f>ROUNDUP(D12/$C12*100,1)</f>
        <v>47.300000000000004</v>
      </c>
      <c r="E28" s="4"/>
      <c r="F28" s="4"/>
      <c r="G28" s="4"/>
      <c r="H28" s="4"/>
      <c r="I28" s="4"/>
      <c r="J28" s="4"/>
      <c r="K28" s="4"/>
      <c r="L28" s="129"/>
      <c r="M28" s="4"/>
      <c r="N28" s="4"/>
      <c r="O28" s="4"/>
      <c r="P28" s="4"/>
      <c r="Q28" s="42" t="s">
        <v>492</v>
      </c>
      <c r="R28" s="42">
        <f>IF(Axis_Count=1,0,D28)</f>
        <v>47.300000000000004</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2443.2660000000001</v>
      </c>
      <c r="D65" s="33">
        <f>D7+(D10*$D$73)</f>
        <v>1037.5061586590159</v>
      </c>
      <c r="E65" s="311">
        <f>D8+(D11*$D$73)</f>
        <v>1017.4756319275848</v>
      </c>
      <c r="F65" s="40"/>
      <c r="G65" s="40"/>
      <c r="K65" s="129"/>
      <c r="L65" s="40"/>
      <c r="M65" s="40"/>
    </row>
    <row r="66" spans="1:18" s="3" customFormat="1" ht="14.1" customHeight="1">
      <c r="A66" s="4"/>
      <c r="B66" s="29" t="s">
        <v>491</v>
      </c>
      <c r="C66" s="33">
        <f xml:space="preserve"> C8+(C11*$D$74)</f>
        <v>2287.06</v>
      </c>
      <c r="D66" s="33">
        <f xml:space="preserve"> D8+(D11*$D$74)</f>
        <v>961.86755639320336</v>
      </c>
      <c r="E66" s="311">
        <f xml:space="preserve"> D9+(D12*$D$74)</f>
        <v>547.53744136843522</v>
      </c>
      <c r="F66" s="40"/>
      <c r="G66" s="40"/>
      <c r="H66" s="4"/>
      <c r="I66" s="4"/>
      <c r="J66" s="4"/>
      <c r="K66" s="129"/>
      <c r="L66" s="40"/>
      <c r="M66" s="40"/>
      <c r="N66" s="4"/>
      <c r="O66" s="4"/>
      <c r="P66" s="4"/>
      <c r="Q66" s="4"/>
      <c r="R66" s="4"/>
    </row>
    <row r="67" spans="1:18" ht="14.1" customHeight="1">
      <c r="B67" s="29" t="s">
        <v>492</v>
      </c>
      <c r="C67" s="33">
        <f>C9+(C12*$D$75)</f>
        <v>1111.712</v>
      </c>
      <c r="D67" s="33">
        <f>D9+(D12*$D$75)</f>
        <v>551.42556233398864</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247</v>
      </c>
      <c r="D73" s="29">
        <f>VLOOKUP($C73,Table2,2)</f>
        <v>4.13</v>
      </c>
      <c r="E73" s="29">
        <f>VLOOKUP($C73,Table2,3)</f>
        <v>2444.1799999999998</v>
      </c>
      <c r="F73" s="29">
        <f>VLOOKUP($C73,Table2,4)</f>
        <v>1666</v>
      </c>
      <c r="G73" s="29">
        <f>VLOOKUP($C73,Table2,5)</f>
        <v>301.27</v>
      </c>
      <c r="K73" s="129"/>
      <c r="L73" s="354"/>
      <c r="M73" s="129"/>
    </row>
    <row r="74" spans="1:18" ht="14.1" customHeight="1">
      <c r="B74" s="29" t="s">
        <v>491</v>
      </c>
      <c r="C74" s="29">
        <f>VLOOKUP($C$3,Table1,4)</f>
        <v>248</v>
      </c>
      <c r="D74" s="29">
        <f>VLOOKUP($C74,Table2,2)</f>
        <v>3.3</v>
      </c>
      <c r="E74" s="29">
        <f>VLOOKUP($C74,Table2,3)</f>
        <v>2286.88</v>
      </c>
      <c r="F74" s="29">
        <f>VLOOKUP($C74,Table2,4)</f>
        <v>1666</v>
      </c>
      <c r="G74" s="29">
        <f>VLOOKUP($C74,Table2,5)</f>
        <v>307.33</v>
      </c>
      <c r="K74" s="354"/>
      <c r="L74" s="354"/>
      <c r="M74" s="129"/>
    </row>
    <row r="75" spans="1:18" ht="14.1" customHeight="1">
      <c r="B75" s="29" t="s">
        <v>492</v>
      </c>
      <c r="C75" s="29">
        <f>VLOOKUP($C$3,Table1,5)</f>
        <v>249</v>
      </c>
      <c r="D75" s="29">
        <f>VLOOKUP($C75,Table2,2)</f>
        <v>3.37</v>
      </c>
      <c r="E75" s="29">
        <f>VLOOKUP($C75,Table2,3)</f>
        <v>1112.04</v>
      </c>
      <c r="F75" s="29">
        <f>VLOOKUP($C75,Table2,4)</f>
        <v>715.4</v>
      </c>
      <c r="G75" s="29">
        <f>VLOOKUP($C75,Table2,5)</f>
        <v>121.21</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214</v>
      </c>
      <c r="C26" s="83" t="str">
        <f>VLOOKUP(B26,Robotlist,2, FALSE)</f>
        <v>M-900iA/260L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165.566</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14.141999999999999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17.434000000000001</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12.755000000000001</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356.89800000000002</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176.102</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481.64299999999997</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214</v>
      </c>
      <c r="C3" s="171" t="str">
        <f>VLOOKUP(B3,Robotlist,2, FALSE)</f>
        <v>M-900iA/260L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63.300000000000004</v>
      </c>
      <c r="D9" s="1">
        <v>0</v>
      </c>
      <c r="E9" s="1">
        <f>IF(H9&gt;$F$8, $F$8-$E$8, IF(H9&gt;$E$8, H9-$E$8, 0))</f>
        <v>0</v>
      </c>
      <c r="F9" s="1">
        <f>IF(H9&gt;$F$8, H9-$F$8, 0)</f>
        <v>0</v>
      </c>
      <c r="H9" s="1">
        <f>'Wrist Load Analysis'!R20</f>
        <v>63.300000000000004</v>
      </c>
    </row>
    <row r="11" spans="1:8">
      <c r="A11" s="1" t="s">
        <v>348</v>
      </c>
      <c r="B11" s="1" t="s">
        <v>2344</v>
      </c>
      <c r="C11" s="1">
        <f>IF(H11&gt;$E$8, $E$8, H11)</f>
        <v>44</v>
      </c>
      <c r="D11" s="1">
        <v>0</v>
      </c>
      <c r="E11" s="1">
        <f>IF(H11&gt;$F$8, $F$8-$E$8, IF(H11&gt;$E$8, H11-$E$8, 0))</f>
        <v>0</v>
      </c>
      <c r="F11" s="1">
        <f>IF(H11&gt;$F$8, H11-$F$8, 0)</f>
        <v>0</v>
      </c>
      <c r="H11" s="1">
        <f>IF(Anal_Robot_Code=10111,0,'Wrist Load Analysis'!R22)</f>
        <v>44</v>
      </c>
    </row>
    <row r="12" spans="1:8">
      <c r="B12" s="1" t="s">
        <v>1618</v>
      </c>
      <c r="C12" s="1">
        <f>IF(H12&gt;$E$8, $E$8, H12)</f>
        <v>44</v>
      </c>
      <c r="D12" s="1">
        <v>0</v>
      </c>
      <c r="E12" s="1">
        <f>IF(H12&gt;$F$8, $F$8-$E$8, IF(H12&gt;$E$8, H12-$E$8, 0))</f>
        <v>0</v>
      </c>
      <c r="F12" s="1">
        <f>IF(H12&gt;$F$8, H12-$F$8, 0)</f>
        <v>0</v>
      </c>
      <c r="H12" s="1">
        <f>'Wrist Load Analysis'!R23</f>
        <v>44</v>
      </c>
    </row>
    <row r="13" spans="1:8">
      <c r="B13" s="1" t="str">
        <f>IF(Axis_Count=1,"","J6")</f>
        <v>J6</v>
      </c>
      <c r="C13" s="1">
        <f>IF(H13&gt;$E$8, $E$8, H13)</f>
        <v>50</v>
      </c>
      <c r="D13" s="1">
        <v>0</v>
      </c>
      <c r="E13" s="1">
        <f>IF(H13&gt;$F$8, $F$8-$E$8, IF(H13&gt;$E$8, H13-$E$8, 0))</f>
        <v>0</v>
      </c>
      <c r="F13" s="1">
        <f>IF(H13&gt;$F$8, H13-$F$8, 0)</f>
        <v>0</v>
      </c>
      <c r="H13" s="1">
        <f>'Wrist Load Analysis'!R24</f>
        <v>50</v>
      </c>
    </row>
    <row r="15" spans="1:8">
      <c r="A15" s="1" t="s">
        <v>488</v>
      </c>
      <c r="B15" s="1" t="s">
        <v>2344</v>
      </c>
      <c r="C15" s="1">
        <f>IF(H15&gt;E8, E8, H15)</f>
        <v>38.200000000000003</v>
      </c>
      <c r="D15" s="1">
        <v>0</v>
      </c>
      <c r="E15" s="1">
        <f>IF(H15&gt;$F$8, $F$8-$E$8, IF(H15&gt;$E$8, H15-$E$8, 0))</f>
        <v>0</v>
      </c>
      <c r="F15" s="1">
        <f>IF(H15&gt;$F$8, H15-$F$8, 0)</f>
        <v>0</v>
      </c>
      <c r="H15" s="1">
        <f>'Wrist Load Analysis'!R26</f>
        <v>38.200000000000003</v>
      </c>
    </row>
    <row r="16" spans="1:8">
      <c r="B16" s="1" t="s">
        <v>1618</v>
      </c>
      <c r="C16" s="1">
        <f>IF(H16&gt;E8, E8, H16)</f>
        <v>35.6</v>
      </c>
      <c r="D16" s="1">
        <v>0</v>
      </c>
      <c r="E16" s="1">
        <f>IF(H16&gt;$F$8, $F$8-$E$8, IF(H16&gt;$E$8, H16-$E$8, 0))</f>
        <v>0</v>
      </c>
      <c r="F16" s="1">
        <f>IF(H16&gt;$F$8, H16-$F$8, 0)</f>
        <v>0</v>
      </c>
      <c r="H16" s="1">
        <f>'Wrist Load Analysis'!R27</f>
        <v>35.6</v>
      </c>
    </row>
    <row r="17" spans="1:16">
      <c r="B17" s="1" t="str">
        <f>IF(Axis_Count=1,"","J6")</f>
        <v>J6</v>
      </c>
      <c r="C17" s="1">
        <f>IF(H17&gt;E8, E8, H17)</f>
        <v>47.300000000000004</v>
      </c>
      <c r="D17" s="1">
        <v>0</v>
      </c>
      <c r="E17" s="1">
        <f>IF(H17&gt;$F$8, $F$8-$E$8, IF(H17&gt;$E$8, H17-$E$8, 0))</f>
        <v>0</v>
      </c>
      <c r="F17" s="1">
        <f>IF(H17&gt;$F$8, H17-$F$8, 0)</f>
        <v>0</v>
      </c>
      <c r="H17" s="1">
        <f>'Wrist Load Analysis'!R28</f>
        <v>47.300000000000004</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247</v>
      </c>
      <c r="D25" s="1">
        <f>VLOOKUP($B$3,Table1,6)</f>
        <v>1666</v>
      </c>
      <c r="E25" s="1">
        <f>VLOOKUP($B$3,Table1,9)</f>
        <v>188.2</v>
      </c>
      <c r="F25" s="172">
        <f>'Wrist Load Analysis'!R7</f>
        <v>740.77520788301183</v>
      </c>
      <c r="G25" s="172">
        <f>'Wrist Load Analysis'!R10</f>
        <v>71.847687839226197</v>
      </c>
      <c r="H25" s="1">
        <f>VLOOKUP($C25,Table2,2)</f>
        <v>4.13</v>
      </c>
      <c r="I25" s="1">
        <f>VLOOKUP($C25,Table2,3)</f>
        <v>2444.1799999999998</v>
      </c>
      <c r="J25" s="1">
        <f>VLOOKUP($C25,Table2,4)</f>
        <v>1666</v>
      </c>
      <c r="K25" s="1">
        <f>VLOOKUP($C25,Table2,5)</f>
        <v>301.27</v>
      </c>
      <c r="L25" s="114">
        <f>I25-(K25*H25)</f>
        <v>1199.9349</v>
      </c>
      <c r="M25" s="1">
        <v>0</v>
      </c>
      <c r="N25" s="1">
        <f>D25</f>
        <v>1666</v>
      </c>
      <c r="O25" s="1">
        <f t="shared" ref="O25:P27" si="0">M25*$P$23</f>
        <v>0</v>
      </c>
      <c r="P25" s="1">
        <f t="shared" si="0"/>
        <v>1499.4</v>
      </c>
    </row>
    <row r="26" spans="1:16">
      <c r="F26" s="172"/>
      <c r="G26" s="172"/>
      <c r="L26" s="114"/>
      <c r="M26" s="1">
        <f>E25</f>
        <v>188.2</v>
      </c>
      <c r="N26" s="1">
        <f>N25</f>
        <v>1666</v>
      </c>
      <c r="O26" s="1">
        <f t="shared" si="0"/>
        <v>169.38</v>
      </c>
      <c r="P26" s="1">
        <f t="shared" si="0"/>
        <v>1499.4</v>
      </c>
    </row>
    <row r="27" spans="1:16">
      <c r="F27" s="172"/>
      <c r="G27" s="172"/>
      <c r="L27" s="114"/>
      <c r="M27" s="1">
        <f>M26</f>
        <v>188.2</v>
      </c>
      <c r="N27" s="114">
        <v>0</v>
      </c>
      <c r="O27" s="1">
        <f t="shared" si="0"/>
        <v>169.38</v>
      </c>
      <c r="P27" s="1">
        <f t="shared" si="0"/>
        <v>0</v>
      </c>
    </row>
    <row r="28" spans="1:16">
      <c r="F28" s="172"/>
      <c r="G28" s="172"/>
      <c r="L28" s="114"/>
    </row>
    <row r="29" spans="1:16">
      <c r="B29" s="1" t="s">
        <v>1618</v>
      </c>
      <c r="C29" s="1">
        <f>VLOOKUP($B$3,Table1,4)</f>
        <v>248</v>
      </c>
      <c r="D29" s="1">
        <f>VLOOKUP($B$3,Table1,7)</f>
        <v>1666</v>
      </c>
      <c r="E29" s="1">
        <f>VLOOKUP($B$3,Table1,10)</f>
        <v>188.2</v>
      </c>
      <c r="F29" s="172">
        <f>'Wrist Load Analysis'!R8</f>
        <v>740.77520788301183</v>
      </c>
      <c r="G29" s="172">
        <f>'Wrist Load Analysis'!R11</f>
        <v>66.997681366724692</v>
      </c>
      <c r="H29" s="1">
        <f>VLOOKUP($C29,Table2,2)</f>
        <v>3.3</v>
      </c>
      <c r="I29" s="1">
        <f>VLOOKUP($C29,Table2,3)</f>
        <v>2286.88</v>
      </c>
      <c r="J29" s="1">
        <f>VLOOKUP($C29,Table2,4)</f>
        <v>1666</v>
      </c>
      <c r="K29" s="1">
        <f>VLOOKUP($C29,Table2,5)</f>
        <v>307.33</v>
      </c>
      <c r="L29" s="114">
        <f>I29-(K29*H29)</f>
        <v>1272.6910000000003</v>
      </c>
      <c r="M29" s="1">
        <v>0</v>
      </c>
      <c r="N29" s="1">
        <f>D29</f>
        <v>1666</v>
      </c>
      <c r="O29" s="1">
        <f t="shared" ref="O29:P31" si="1">M29*$P$23</f>
        <v>0</v>
      </c>
      <c r="P29" s="1">
        <f t="shared" si="1"/>
        <v>1499.4</v>
      </c>
    </row>
    <row r="30" spans="1:16">
      <c r="F30" s="172"/>
      <c r="G30" s="172"/>
      <c r="L30" s="114"/>
      <c r="M30" s="1">
        <f>E29</f>
        <v>188.2</v>
      </c>
      <c r="N30" s="1">
        <f>N29</f>
        <v>1666</v>
      </c>
      <c r="O30" s="1">
        <f t="shared" si="1"/>
        <v>169.38</v>
      </c>
      <c r="P30" s="1">
        <f t="shared" si="1"/>
        <v>1499.4</v>
      </c>
    </row>
    <row r="31" spans="1:16">
      <c r="F31" s="172"/>
      <c r="G31" s="172"/>
      <c r="L31" s="114"/>
      <c r="M31" s="1">
        <f>M30</f>
        <v>188.2</v>
      </c>
      <c r="N31" s="114">
        <v>0</v>
      </c>
      <c r="O31" s="1">
        <f t="shared" si="1"/>
        <v>169.38</v>
      </c>
      <c r="P31" s="1">
        <f t="shared" si="1"/>
        <v>0</v>
      </c>
    </row>
    <row r="32" spans="1:16">
      <c r="F32" s="172"/>
      <c r="G32" s="172"/>
      <c r="L32" s="114"/>
    </row>
    <row r="33" spans="2:16">
      <c r="B33" s="1" t="s">
        <v>270</v>
      </c>
      <c r="C33" s="1">
        <f>VLOOKUP($B$3,Table1,5)</f>
        <v>249</v>
      </c>
      <c r="D33" s="1">
        <f>VLOOKUP($B$3,Table1,8)</f>
        <v>715.4</v>
      </c>
      <c r="E33" s="1">
        <f>VLOOKUP($B$3,Table1,11)</f>
        <v>117.6</v>
      </c>
      <c r="F33" s="172">
        <f>'Wrist Load Analysis'!R9</f>
        <v>364.24031013520204</v>
      </c>
      <c r="G33" s="172">
        <f>'Wrist Load Analysis'!R12</f>
        <v>55.54458522219187</v>
      </c>
      <c r="H33" s="1">
        <f>VLOOKUP($C33,Table2,2)</f>
        <v>3.37</v>
      </c>
      <c r="I33" s="1">
        <f>VLOOKUP($C33,Table2,3)</f>
        <v>1112.04</v>
      </c>
      <c r="J33" s="1">
        <f>VLOOKUP($C33,Table2,4)</f>
        <v>715.4</v>
      </c>
      <c r="K33" s="1">
        <f>VLOOKUP($C33,Table2,5)</f>
        <v>121.21</v>
      </c>
      <c r="L33" s="114">
        <f>I33-(K33*H33)</f>
        <v>703.56230000000005</v>
      </c>
      <c r="M33" s="1">
        <v>0</v>
      </c>
      <c r="N33" s="1">
        <f>D33</f>
        <v>715.4</v>
      </c>
      <c r="O33" s="1">
        <f t="shared" ref="O33:P35" si="2">M33*$P$23</f>
        <v>0</v>
      </c>
      <c r="P33" s="1">
        <f t="shared" si="2"/>
        <v>643.86</v>
      </c>
    </row>
    <row r="34" spans="2:16">
      <c r="M34" s="1">
        <f>E33</f>
        <v>117.6</v>
      </c>
      <c r="N34" s="1">
        <f>N33</f>
        <v>715.4</v>
      </c>
      <c r="O34" s="1">
        <f t="shared" si="2"/>
        <v>105.84</v>
      </c>
      <c r="P34" s="1">
        <f t="shared" si="2"/>
        <v>643.86</v>
      </c>
    </row>
    <row r="35" spans="2:16">
      <c r="M35" s="1">
        <f>M34</f>
        <v>117.6</v>
      </c>
      <c r="N35" s="114">
        <v>0</v>
      </c>
      <c r="O35" s="1">
        <f t="shared" si="2"/>
        <v>105.84</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UzlN3PlUe0rv5onN13dt/uEzcN+HAvwq0eMPdXJp93zR+F5dx/eZh9+VoslZH9dJM10FGY9H/aIfNGqnFtRQw==" saltValue="uViGfwRxmKM1ULeJpsPS/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1" r:id="rId4" name="ScrollBar1">
          <controlPr defaultSize="0" autoLine="0" altText="Bar1" linkedCell="  multi_outline_hr" r:id="rId5">
            <anchor moveWithCells="1">
              <from>
                <xdr:col>10</xdr:col>
                <xdr:colOff>342900</xdr:colOff>
                <xdr:row>33</xdr:row>
                <xdr:rowOff>47625</xdr:rowOff>
              </from>
              <to>
                <xdr:col>12</xdr:col>
                <xdr:colOff>571500</xdr:colOff>
                <xdr:row>33</xdr:row>
                <xdr:rowOff>161925</xdr:rowOff>
              </to>
            </anchor>
          </controlPr>
        </control>
      </mc:Choice>
      <mc:Fallback>
        <control shapeId="239651" r:id="rId4" name="ScrollBar1"/>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3" r:id="rId8" name="ScrollBar3">
          <controlPr defaultSize="0" autoLine="0" altText="Bar3" linkedCell="multi_outline_scale" r:id="rId9">
            <anchor moveWithCells="1">
              <from>
                <xdr:col>13</xdr:col>
                <xdr:colOff>152400</xdr:colOff>
                <xdr:row>20</xdr:row>
                <xdr:rowOff>19050</xdr:rowOff>
              </from>
              <to>
                <xdr:col>13</xdr:col>
                <xdr:colOff>266700</xdr:colOff>
                <xdr:row>24</xdr:row>
                <xdr:rowOff>0</xdr:rowOff>
              </to>
            </anchor>
          </controlPr>
        </control>
      </mc:Choice>
      <mc:Fallback>
        <control shapeId="239653" r:id="rId8" name="ScrollBar3"/>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0"/>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0"/>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0"/>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0"/>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0"/>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1"/>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1"/>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1"/>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1"/>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1"/>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111:B122"/>
    <mergeCell ref="C112:C122"/>
    <mergeCell ref="B75:B86"/>
    <mergeCell ref="C76:C86"/>
    <mergeCell ref="B87:B98"/>
    <mergeCell ref="C88:C98"/>
    <mergeCell ref="B99:B110"/>
    <mergeCell ref="C100:C110"/>
    <mergeCell ref="B3:B14"/>
    <mergeCell ref="C4:C14"/>
    <mergeCell ref="B15:B26"/>
    <mergeCell ref="C16:C26"/>
    <mergeCell ref="B63:B74"/>
    <mergeCell ref="C64:C74"/>
    <mergeCell ref="B27:B38"/>
    <mergeCell ref="C28:C38"/>
    <mergeCell ref="B39:B50"/>
    <mergeCell ref="C40:C50"/>
    <mergeCell ref="B51:B62"/>
    <mergeCell ref="C52:C62"/>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2024-07-17T16:08:09Z</dcterms:modified>
</cp:coreProperties>
</file>