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doserate_rProject\Supplementary Materials\alpha flux calculation\"/>
    </mc:Choice>
  </mc:AlternateContent>
  <bookViews>
    <workbookView xWindow="0" yWindow="0" windowWidth="28800" windowHeight="12300"/>
  </bookViews>
  <sheets>
    <sheet name="Range-Flux alpha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9" i="1" l="1"/>
  <c r="H29" i="1"/>
  <c r="J29" i="1"/>
  <c r="O29" i="1"/>
  <c r="E32" i="1"/>
  <c r="H32" i="1"/>
  <c r="J32" i="1"/>
  <c r="E33" i="1"/>
  <c r="H33" i="1"/>
  <c r="J33" i="1"/>
  <c r="E34" i="1"/>
  <c r="H34" i="1"/>
  <c r="J34" i="1"/>
  <c r="E35" i="1"/>
  <c r="H35" i="1"/>
  <c r="J35" i="1"/>
  <c r="E36" i="1"/>
  <c r="H36" i="1"/>
  <c r="J36" i="1"/>
  <c r="E37" i="1"/>
  <c r="H37" i="1"/>
  <c r="J37" i="1"/>
  <c r="E38" i="1"/>
  <c r="H38" i="1"/>
  <c r="J38" i="1"/>
  <c r="O32" i="1"/>
  <c r="E30" i="1"/>
  <c r="H30" i="1"/>
  <c r="J30" i="1"/>
  <c r="E31" i="1"/>
  <c r="H31" i="1"/>
  <c r="J31" i="1"/>
  <c r="J40" i="1"/>
  <c r="K12" i="1"/>
  <c r="L12" i="1"/>
  <c r="J41" i="1"/>
  <c r="K17" i="1"/>
  <c r="L17" i="1"/>
  <c r="E44" i="1"/>
  <c r="H44" i="1"/>
  <c r="J44" i="1"/>
  <c r="E45" i="1"/>
  <c r="H45" i="1"/>
  <c r="J45" i="1"/>
  <c r="E46" i="1"/>
  <c r="H46" i="1"/>
  <c r="J46" i="1"/>
  <c r="E47" i="1"/>
  <c r="H47" i="1"/>
  <c r="J47" i="1"/>
  <c r="E48" i="1"/>
  <c r="H48" i="1"/>
  <c r="J48" i="1"/>
  <c r="E49" i="1"/>
  <c r="H49" i="1"/>
  <c r="J49" i="1"/>
  <c r="E50" i="1"/>
  <c r="H50" i="1"/>
  <c r="J50" i="1"/>
  <c r="E51" i="1"/>
  <c r="H51" i="1"/>
  <c r="J51" i="1"/>
  <c r="E52" i="1"/>
  <c r="H52" i="1"/>
  <c r="J52" i="1"/>
  <c r="E53" i="1"/>
  <c r="H53" i="1"/>
  <c r="J53" i="1"/>
  <c r="E54" i="1"/>
  <c r="H54" i="1"/>
  <c r="J54" i="1"/>
  <c r="E55" i="1"/>
  <c r="H55" i="1"/>
  <c r="J55" i="1"/>
  <c r="E56" i="1"/>
  <c r="H56" i="1"/>
  <c r="J56" i="1"/>
  <c r="E57" i="1"/>
  <c r="H57" i="1"/>
  <c r="J57" i="1"/>
  <c r="E58" i="1"/>
  <c r="H58" i="1"/>
  <c r="J58" i="1"/>
  <c r="E59" i="1"/>
  <c r="H59" i="1"/>
  <c r="J59" i="1"/>
  <c r="E60" i="1"/>
  <c r="H60" i="1"/>
  <c r="J60" i="1"/>
  <c r="E61" i="1"/>
  <c r="H61" i="1"/>
  <c r="J61" i="1"/>
  <c r="E62" i="1"/>
  <c r="H62" i="1"/>
  <c r="J62" i="1"/>
  <c r="E63" i="1"/>
  <c r="H63" i="1"/>
  <c r="J63" i="1"/>
  <c r="E64" i="1"/>
  <c r="H64" i="1"/>
  <c r="J64" i="1"/>
  <c r="E65" i="1"/>
  <c r="H65" i="1"/>
  <c r="J65" i="1"/>
  <c r="E66" i="1"/>
  <c r="H66" i="1"/>
  <c r="J66" i="1"/>
  <c r="E67" i="1"/>
  <c r="H67" i="1"/>
  <c r="J67" i="1"/>
  <c r="E68" i="1"/>
  <c r="H68" i="1"/>
  <c r="J68" i="1"/>
  <c r="E69" i="1"/>
  <c r="H69" i="1"/>
  <c r="J69" i="1"/>
  <c r="E70" i="1"/>
  <c r="H70" i="1"/>
  <c r="J70" i="1"/>
  <c r="E71" i="1"/>
  <c r="H71" i="1"/>
  <c r="J71" i="1"/>
  <c r="E72" i="1"/>
  <c r="H72" i="1"/>
  <c r="J72" i="1"/>
  <c r="E73" i="1"/>
  <c r="H73" i="1"/>
  <c r="J73" i="1"/>
  <c r="E74" i="1"/>
  <c r="H74" i="1"/>
  <c r="J74" i="1"/>
  <c r="E75" i="1"/>
  <c r="H75" i="1"/>
  <c r="J75" i="1"/>
  <c r="E76" i="1"/>
  <c r="H76" i="1"/>
  <c r="J76" i="1"/>
  <c r="E77" i="1"/>
  <c r="H77" i="1"/>
  <c r="J77" i="1"/>
  <c r="E78" i="1"/>
  <c r="H78" i="1"/>
  <c r="J78" i="1"/>
  <c r="E79" i="1"/>
  <c r="H79" i="1"/>
  <c r="J79" i="1"/>
  <c r="E80" i="1"/>
  <c r="J80" i="1"/>
  <c r="E81" i="1"/>
  <c r="J81" i="1"/>
  <c r="E82" i="1"/>
  <c r="H82" i="1"/>
  <c r="J82" i="1"/>
  <c r="J84" i="1"/>
  <c r="K13" i="1"/>
  <c r="L13" i="1"/>
  <c r="O13" i="1"/>
  <c r="I33" i="1"/>
  <c r="L33" i="1"/>
  <c r="I31" i="1"/>
  <c r="I14" i="1"/>
  <c r="I12" i="1"/>
  <c r="K98" i="1"/>
  <c r="I98" i="1"/>
  <c r="L98" i="1"/>
  <c r="H98" i="1"/>
  <c r="E98" i="1"/>
  <c r="K97" i="1"/>
  <c r="I97" i="1"/>
  <c r="L97" i="1"/>
  <c r="H97" i="1"/>
  <c r="E97" i="1"/>
  <c r="H96" i="1"/>
  <c r="E96" i="1"/>
  <c r="H95" i="1"/>
  <c r="E95" i="1"/>
  <c r="K94" i="1"/>
  <c r="I94" i="1"/>
  <c r="L94" i="1"/>
  <c r="H94" i="1"/>
  <c r="E94" i="1"/>
  <c r="K93" i="1"/>
  <c r="I93" i="1"/>
  <c r="L93" i="1"/>
  <c r="H93" i="1"/>
  <c r="E93" i="1"/>
  <c r="K92" i="1"/>
  <c r="I92" i="1"/>
  <c r="L92" i="1"/>
  <c r="H92" i="1"/>
  <c r="E92" i="1"/>
  <c r="I91" i="1"/>
  <c r="L90" i="1"/>
  <c r="H91" i="1"/>
  <c r="E91" i="1"/>
  <c r="K90" i="1"/>
  <c r="H90" i="1"/>
  <c r="E90" i="1"/>
  <c r="I89" i="1"/>
  <c r="H89" i="1"/>
  <c r="E89" i="1"/>
  <c r="K88" i="1"/>
  <c r="H88" i="1"/>
  <c r="E88" i="1"/>
  <c r="I82" i="1"/>
  <c r="L82" i="1"/>
  <c r="I81" i="1"/>
  <c r="L81" i="1"/>
  <c r="I80" i="1"/>
  <c r="L79" i="1"/>
  <c r="I75" i="1"/>
  <c r="L73" i="1"/>
  <c r="I72" i="1"/>
  <c r="L70" i="1"/>
  <c r="I66" i="1"/>
  <c r="L61" i="1"/>
  <c r="I58" i="1"/>
  <c r="L54" i="1"/>
  <c r="I51" i="1"/>
  <c r="K38" i="1"/>
  <c r="I38" i="1"/>
  <c r="L38" i="1"/>
  <c r="I37" i="1"/>
  <c r="L37" i="1"/>
  <c r="I36" i="1"/>
  <c r="L36" i="1"/>
  <c r="K35" i="1"/>
  <c r="I35" i="1"/>
  <c r="L35" i="1"/>
  <c r="K34" i="1"/>
  <c r="I34" i="1"/>
  <c r="L34" i="1"/>
  <c r="K33" i="1"/>
  <c r="L31" i="1"/>
  <c r="K31" i="1"/>
  <c r="K29" i="1"/>
  <c r="I29" i="1"/>
  <c r="I13" i="1"/>
  <c r="A6" i="1"/>
  <c r="A7" i="1"/>
  <c r="A8" i="1"/>
  <c r="A9" i="1"/>
  <c r="A10" i="1"/>
  <c r="A11" i="1"/>
  <c r="A12" i="1"/>
  <c r="A13" i="1"/>
  <c r="A14" i="1"/>
  <c r="I83" i="1"/>
  <c r="I99" i="1"/>
  <c r="I39" i="1"/>
  <c r="L29" i="1"/>
  <c r="L88" i="1"/>
  <c r="J89" i="1"/>
  <c r="J96" i="1"/>
  <c r="J92" i="1"/>
  <c r="J97" i="1"/>
  <c r="J93" i="1"/>
  <c r="J95" i="1"/>
  <c r="J98" i="1"/>
  <c r="J91" i="1"/>
  <c r="J94" i="1"/>
  <c r="J88" i="1"/>
  <c r="J90" i="1"/>
  <c r="L44" i="1"/>
  <c r="O30" i="1"/>
  <c r="J100" i="1"/>
  <c r="K14" i="1"/>
  <c r="X24" i="1"/>
  <c r="X25" i="1"/>
  <c r="L14" i="1"/>
  <c r="O14" i="1"/>
</calcChain>
</file>

<file path=xl/sharedStrings.xml><?xml version="1.0" encoding="utf-8"?>
<sst xmlns="http://schemas.openxmlformats.org/spreadsheetml/2006/main" count="108" uniqueCount="69">
  <si>
    <t>Date :</t>
  </si>
  <si>
    <t xml:space="preserve"> Ln(2) =</t>
  </si>
  <si>
    <t>Energy (MeV)</t>
  </si>
  <si>
    <t>N =</t>
  </si>
  <si>
    <t xml:space="preserve"> 10 (23)</t>
  </si>
  <si>
    <t>Abondance</t>
  </si>
  <si>
    <t>U238</t>
  </si>
  <si>
    <t xml:space="preserve"> 10 (9) ans</t>
  </si>
  <si>
    <t>U235</t>
  </si>
  <si>
    <t>Th232</t>
  </si>
  <si>
    <t>Flux:</t>
  </si>
  <si>
    <t>(mg/cm2)</t>
  </si>
  <si>
    <t xml:space="preserve"> 10 (3)</t>
  </si>
  <si>
    <t>Uranium (1 ppm) :</t>
  </si>
  <si>
    <t>Thorium (1 ppm) :</t>
  </si>
  <si>
    <t>A3 =</t>
  </si>
  <si>
    <t>A2 =</t>
  </si>
  <si>
    <t>A1 =</t>
  </si>
  <si>
    <t>A0 =</t>
  </si>
  <si>
    <t>%</t>
  </si>
  <si>
    <t>% total</t>
  </si>
  <si>
    <t>U234</t>
  </si>
  <si>
    <t>Th230</t>
  </si>
  <si>
    <t>Ra226</t>
  </si>
  <si>
    <t>Rn222</t>
  </si>
  <si>
    <t>Po218</t>
  </si>
  <si>
    <t>Po214</t>
  </si>
  <si>
    <t>Po210</t>
  </si>
  <si>
    <t>Pa231</t>
  </si>
  <si>
    <t>Th227</t>
  </si>
  <si>
    <t>Ac227</t>
  </si>
  <si>
    <t>Ra223</t>
  </si>
  <si>
    <t>Rn219</t>
  </si>
  <si>
    <t>Po215</t>
  </si>
  <si>
    <t>Bi211</t>
  </si>
  <si>
    <t>Th228</t>
  </si>
  <si>
    <t>Ra224</t>
  </si>
  <si>
    <t>Rn220</t>
  </si>
  <si>
    <t>Po216</t>
  </si>
  <si>
    <t>Bi212</t>
  </si>
  <si>
    <t>Po212</t>
  </si>
  <si>
    <t>after Rn222</t>
  </si>
  <si>
    <t>after Th230</t>
  </si>
  <si>
    <t>DATA from http://www-nds.iaea.or.at/nudat/radform.html</t>
  </si>
  <si>
    <t>Adjusted coeff. :</t>
  </si>
  <si>
    <t>March 2023</t>
  </si>
  <si>
    <t>Half-life (in years)</t>
  </si>
  <si>
    <t>Atomic</t>
  </si>
  <si>
    <t>mass :</t>
  </si>
  <si>
    <t>Range :</t>
  </si>
  <si>
    <t>Flux (nb. alpha /cm2/a)</t>
  </si>
  <si>
    <t>mean :</t>
  </si>
  <si>
    <t>Total range=</t>
  </si>
  <si>
    <t>Range2</t>
  </si>
  <si>
    <t>Range1</t>
  </si>
  <si>
    <t>Branching</t>
  </si>
  <si>
    <t>U-238 series:</t>
  </si>
  <si>
    <t>U-235 series:</t>
  </si>
  <si>
    <t>Th-232 series :</t>
  </si>
  <si>
    <t>Range / element</t>
  </si>
  <si>
    <t>Mean Energy :</t>
  </si>
  <si>
    <t>Desint. Rate :</t>
  </si>
  <si>
    <t>10 (-6) g per g (/g /a):</t>
  </si>
  <si>
    <t>in weight:</t>
  </si>
  <si>
    <t>(/cm2/a)</t>
  </si>
  <si>
    <t xml:space="preserve">Energy </t>
  </si>
  <si>
    <t>(MeV)</t>
  </si>
  <si>
    <t xml:space="preserve">(mg/cm2) </t>
  </si>
  <si>
    <t>Ranges of alpha particles in K-feldspar from SRIM software, K-feldspar density=2.56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</si>
</sst>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10" x14ac:knownFonts="1">
    <font>
      <sz val="10"/>
      <name val="Arial"/>
    </font>
    <font>
      <sz val="10"/>
      <color indexed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color indexed="52"/>
      <name val="Arial"/>
      <family val="2"/>
    </font>
    <font>
      <b/>
      <u/>
      <sz val="10"/>
      <name val="Arial"/>
      <family val="2"/>
    </font>
    <font>
      <sz val="10"/>
      <color indexed="52"/>
      <name val="Arial"/>
      <family val="2"/>
    </font>
    <font>
      <sz val="10"/>
      <name val="Arial"/>
      <family val="2"/>
    </font>
    <font>
      <sz val="10"/>
      <color rgb="FF0070C0"/>
      <name val="Arial"/>
      <family val="2"/>
    </font>
    <font>
      <b/>
      <sz val="10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17" fontId="0" fillId="0" borderId="0" xfId="0" applyNumberFormat="1"/>
    <xf numFmtId="0" fontId="2" fillId="0" borderId="0" xfId="0" applyFont="1" applyAlignment="1">
      <alignment horizontal="center"/>
    </xf>
    <xf numFmtId="0" fontId="1" fillId="0" borderId="0" xfId="0" applyFont="1"/>
    <xf numFmtId="164" fontId="0" fillId="0" borderId="0" xfId="0" applyNumberFormat="1"/>
    <xf numFmtId="165" fontId="0" fillId="0" borderId="0" xfId="0" applyNumberFormat="1"/>
    <xf numFmtId="0" fontId="0" fillId="2" borderId="0" xfId="0" applyFill="1"/>
    <xf numFmtId="0" fontId="0" fillId="2" borderId="0" xfId="0" applyFill="1" applyAlignment="1">
      <alignment horizontal="right"/>
    </xf>
    <xf numFmtId="1" fontId="0" fillId="2" borderId="0" xfId="0" applyNumberFormat="1" applyFill="1" applyAlignment="1">
      <alignment horizontal="center"/>
    </xf>
    <xf numFmtId="0" fontId="3" fillId="0" borderId="0" xfId="0" applyFont="1"/>
    <xf numFmtId="0" fontId="4" fillId="0" borderId="0" xfId="0" applyFont="1"/>
    <xf numFmtId="1" fontId="0" fillId="0" borderId="0" xfId="0" applyNumberFormat="1" applyAlignment="1">
      <alignment horizontal="center"/>
    </xf>
    <xf numFmtId="2" fontId="0" fillId="0" borderId="0" xfId="0" applyNumberFormat="1"/>
    <xf numFmtId="0" fontId="5" fillId="0" borderId="0" xfId="0" applyFont="1"/>
    <xf numFmtId="0" fontId="2" fillId="0" borderId="0" xfId="0" applyFont="1"/>
    <xf numFmtId="0" fontId="6" fillId="0" borderId="0" xfId="0" applyFont="1" applyAlignment="1">
      <alignment horizontal="center"/>
    </xf>
    <xf numFmtId="1" fontId="6" fillId="0" borderId="0" xfId="0" applyNumberFormat="1" applyFont="1" applyAlignment="1">
      <alignment horizontal="center"/>
    </xf>
    <xf numFmtId="0" fontId="7" fillId="0" borderId="0" xfId="0" applyFont="1"/>
    <xf numFmtId="0" fontId="8" fillId="0" borderId="0" xfId="0" applyFont="1"/>
    <xf numFmtId="1" fontId="8" fillId="0" borderId="0" xfId="0" applyNumberFormat="1" applyFont="1"/>
    <xf numFmtId="1" fontId="0" fillId="0" borderId="0" xfId="0" applyNumberFormat="1"/>
    <xf numFmtId="15" fontId="7" fillId="0" borderId="0" xfId="0" applyNumberFormat="1" applyFont="1"/>
    <xf numFmtId="0" fontId="7" fillId="0" borderId="0" xfId="0" applyFont="1" applyAlignment="1">
      <alignment horizontal="left"/>
    </xf>
    <xf numFmtId="0" fontId="7" fillId="0" borderId="0" xfId="0" applyFont="1" applyAlignment="1">
      <alignment horizontal="right"/>
    </xf>
    <xf numFmtId="0" fontId="9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164" fontId="8" fillId="0" borderId="0" xfId="0" applyNumberFormat="1" applyFont="1"/>
    <xf numFmtId="0" fontId="0" fillId="0" borderId="0" xfId="0" applyFill="1"/>
    <xf numFmtId="0" fontId="0" fillId="0" borderId="0" xfId="0" applyFill="1" applyAlignment="1">
      <alignment horizontal="right"/>
    </xf>
    <xf numFmtId="1" fontId="0" fillId="0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237759459727878"/>
          <c:y val="8.6366302005032092E-2"/>
          <c:w val="0.77420258375936324"/>
          <c:h val="0.70456720056736699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trendlineType val="poly"/>
            <c:order val="3"/>
            <c:dispRSqr val="0"/>
            <c:dispEq val="1"/>
            <c:trendlineLbl>
              <c:layout>
                <c:manualLayout>
                  <c:x val="-6.1784191103141373E-2"/>
                  <c:y val="-1.6215779617869595E-2"/>
                </c:manualLayout>
              </c:layout>
              <c:numFmt formatCode="General" sourceLinked="0"/>
            </c:trendlineLbl>
          </c:trendline>
          <c:xVal>
            <c:numRef>
              <c:f>'Range-Flux alpha'!$A$5:$A$14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'Range-Flux alpha'!$B$5:$B$14</c:f>
              <c:numCache>
                <c:formatCode>General</c:formatCode>
                <c:ptCount val="10"/>
                <c:pt idx="0">
                  <c:v>0.80896000000000012</c:v>
                </c:pt>
                <c:pt idx="1">
                  <c:v>1.5897600000000001</c:v>
                </c:pt>
                <c:pt idx="2">
                  <c:v>2.5779200000000002</c:v>
                </c:pt>
                <c:pt idx="3">
                  <c:v>3.7759999999999998</c:v>
                </c:pt>
                <c:pt idx="4">
                  <c:v>5.1737599999999997</c:v>
                </c:pt>
                <c:pt idx="5">
                  <c:v>6.7635200000000015</c:v>
                </c:pt>
                <c:pt idx="6">
                  <c:v>8.5401600000000002</c:v>
                </c:pt>
                <c:pt idx="7">
                  <c:v>10.490880000000001</c:v>
                </c:pt>
                <c:pt idx="8">
                  <c:v>12.61056</c:v>
                </c:pt>
                <c:pt idx="9">
                  <c:v>14.901760000000001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FC-E847-8A24-D26BC09894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019023"/>
        <c:axId val="1"/>
      </c:scatterChart>
      <c:valAx>
        <c:axId val="5790190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Energy (MeV)</a:t>
                </a:r>
              </a:p>
            </c:rich>
          </c:tx>
          <c:layout>
            <c:manualLayout>
              <c:xMode val="edge"/>
              <c:yMode val="edge"/>
              <c:x val="0.28475518919455756"/>
              <c:y val="0.8772998045774311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Range in K-feldspar (mg/cm2)</a:t>
                </a:r>
              </a:p>
            </c:rich>
          </c:tx>
          <c:layout>
            <c:manualLayout>
              <c:xMode val="edge"/>
              <c:yMode val="edge"/>
              <c:x val="4.4069255470586287E-2"/>
              <c:y val="0.186369388537174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79019023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9" l="0.78740157499999996" r="0.78740157499999996" t="0.984251969" header="0.4921259845" footer="0.492125984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186475</xdr:colOff>
      <xdr:row>3</xdr:row>
      <xdr:rowOff>112133</xdr:rowOff>
    </xdr:from>
    <xdr:to>
      <xdr:col>6</xdr:col>
      <xdr:colOff>722766</xdr:colOff>
      <xdr:row>19</xdr:row>
      <xdr:rowOff>5162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9EB0F344-073F-6047-B55A-6DF645A85B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0"/>
  <sheetViews>
    <sheetView tabSelected="1" zoomScale="123" zoomScaleNormal="123" workbookViewId="0">
      <selection activeCell="I22" sqref="I22"/>
    </sheetView>
  </sheetViews>
  <sheetFormatPr defaultColWidth="11.42578125" defaultRowHeight="12.75" x14ac:dyDescent="0.2"/>
  <cols>
    <col min="1" max="1" width="12" customWidth="1"/>
    <col min="2" max="7" width="11.42578125" bestFit="1" customWidth="1"/>
    <col min="8" max="8" width="12.42578125" bestFit="1" customWidth="1"/>
    <col min="9" max="12" width="11.42578125" bestFit="1" customWidth="1"/>
    <col min="17" max="17" width="7.7109375" customWidth="1"/>
    <col min="21" max="21" width="12.85546875" customWidth="1"/>
    <col min="257" max="263" width="11.42578125" bestFit="1" customWidth="1"/>
    <col min="264" max="264" width="12.42578125" bestFit="1" customWidth="1"/>
    <col min="265" max="268" width="11.42578125" bestFit="1" customWidth="1"/>
    <col min="273" max="273" width="7.7109375" customWidth="1"/>
    <col min="277" max="277" width="12.85546875" customWidth="1"/>
    <col min="513" max="519" width="11.42578125" bestFit="1" customWidth="1"/>
    <col min="520" max="520" width="12.42578125" bestFit="1" customWidth="1"/>
    <col min="521" max="524" width="11.42578125" bestFit="1" customWidth="1"/>
    <col min="529" max="529" width="7.7109375" customWidth="1"/>
    <col min="533" max="533" width="12.85546875" customWidth="1"/>
    <col min="769" max="775" width="11.42578125" bestFit="1" customWidth="1"/>
    <col min="776" max="776" width="12.42578125" bestFit="1" customWidth="1"/>
    <col min="777" max="780" width="11.42578125" bestFit="1" customWidth="1"/>
    <col min="785" max="785" width="7.7109375" customWidth="1"/>
    <col min="789" max="789" width="12.85546875" customWidth="1"/>
    <col min="1025" max="1031" width="11.42578125" bestFit="1" customWidth="1"/>
    <col min="1032" max="1032" width="12.42578125" bestFit="1" customWidth="1"/>
    <col min="1033" max="1036" width="11.42578125" bestFit="1" customWidth="1"/>
    <col min="1041" max="1041" width="7.7109375" customWidth="1"/>
    <col min="1045" max="1045" width="12.85546875" customWidth="1"/>
    <col min="1281" max="1287" width="11.42578125" bestFit="1" customWidth="1"/>
    <col min="1288" max="1288" width="12.42578125" bestFit="1" customWidth="1"/>
    <col min="1289" max="1292" width="11.42578125" bestFit="1" customWidth="1"/>
    <col min="1297" max="1297" width="7.7109375" customWidth="1"/>
    <col min="1301" max="1301" width="12.85546875" customWidth="1"/>
    <col min="1537" max="1543" width="11.42578125" bestFit="1" customWidth="1"/>
    <col min="1544" max="1544" width="12.42578125" bestFit="1" customWidth="1"/>
    <col min="1545" max="1548" width="11.42578125" bestFit="1" customWidth="1"/>
    <col min="1553" max="1553" width="7.7109375" customWidth="1"/>
    <col min="1557" max="1557" width="12.85546875" customWidth="1"/>
    <col min="1793" max="1799" width="11.42578125" bestFit="1" customWidth="1"/>
    <col min="1800" max="1800" width="12.42578125" bestFit="1" customWidth="1"/>
    <col min="1801" max="1804" width="11.42578125" bestFit="1" customWidth="1"/>
    <col min="1809" max="1809" width="7.7109375" customWidth="1"/>
    <col min="1813" max="1813" width="12.85546875" customWidth="1"/>
    <col min="2049" max="2055" width="11.42578125" bestFit="1" customWidth="1"/>
    <col min="2056" max="2056" width="12.42578125" bestFit="1" customWidth="1"/>
    <col min="2057" max="2060" width="11.42578125" bestFit="1" customWidth="1"/>
    <col min="2065" max="2065" width="7.7109375" customWidth="1"/>
    <col min="2069" max="2069" width="12.85546875" customWidth="1"/>
    <col min="2305" max="2311" width="11.42578125" bestFit="1" customWidth="1"/>
    <col min="2312" max="2312" width="12.42578125" bestFit="1" customWidth="1"/>
    <col min="2313" max="2316" width="11.42578125" bestFit="1" customWidth="1"/>
    <col min="2321" max="2321" width="7.7109375" customWidth="1"/>
    <col min="2325" max="2325" width="12.85546875" customWidth="1"/>
    <col min="2561" max="2567" width="11.42578125" bestFit="1" customWidth="1"/>
    <col min="2568" max="2568" width="12.42578125" bestFit="1" customWidth="1"/>
    <col min="2569" max="2572" width="11.42578125" bestFit="1" customWidth="1"/>
    <col min="2577" max="2577" width="7.7109375" customWidth="1"/>
    <col min="2581" max="2581" width="12.85546875" customWidth="1"/>
    <col min="2817" max="2823" width="11.42578125" bestFit="1" customWidth="1"/>
    <col min="2824" max="2824" width="12.42578125" bestFit="1" customWidth="1"/>
    <col min="2825" max="2828" width="11.42578125" bestFit="1" customWidth="1"/>
    <col min="2833" max="2833" width="7.7109375" customWidth="1"/>
    <col min="2837" max="2837" width="12.85546875" customWidth="1"/>
    <col min="3073" max="3079" width="11.42578125" bestFit="1" customWidth="1"/>
    <col min="3080" max="3080" width="12.42578125" bestFit="1" customWidth="1"/>
    <col min="3081" max="3084" width="11.42578125" bestFit="1" customWidth="1"/>
    <col min="3089" max="3089" width="7.7109375" customWidth="1"/>
    <col min="3093" max="3093" width="12.85546875" customWidth="1"/>
    <col min="3329" max="3335" width="11.42578125" bestFit="1" customWidth="1"/>
    <col min="3336" max="3336" width="12.42578125" bestFit="1" customWidth="1"/>
    <col min="3337" max="3340" width="11.42578125" bestFit="1" customWidth="1"/>
    <col min="3345" max="3345" width="7.7109375" customWidth="1"/>
    <col min="3349" max="3349" width="12.85546875" customWidth="1"/>
    <col min="3585" max="3591" width="11.42578125" bestFit="1" customWidth="1"/>
    <col min="3592" max="3592" width="12.42578125" bestFit="1" customWidth="1"/>
    <col min="3593" max="3596" width="11.42578125" bestFit="1" customWidth="1"/>
    <col min="3601" max="3601" width="7.7109375" customWidth="1"/>
    <col min="3605" max="3605" width="12.85546875" customWidth="1"/>
    <col min="3841" max="3847" width="11.42578125" bestFit="1" customWidth="1"/>
    <col min="3848" max="3848" width="12.42578125" bestFit="1" customWidth="1"/>
    <col min="3849" max="3852" width="11.42578125" bestFit="1" customWidth="1"/>
    <col min="3857" max="3857" width="7.7109375" customWidth="1"/>
    <col min="3861" max="3861" width="12.85546875" customWidth="1"/>
    <col min="4097" max="4103" width="11.42578125" bestFit="1" customWidth="1"/>
    <col min="4104" max="4104" width="12.42578125" bestFit="1" customWidth="1"/>
    <col min="4105" max="4108" width="11.42578125" bestFit="1" customWidth="1"/>
    <col min="4113" max="4113" width="7.7109375" customWidth="1"/>
    <col min="4117" max="4117" width="12.85546875" customWidth="1"/>
    <col min="4353" max="4359" width="11.42578125" bestFit="1" customWidth="1"/>
    <col min="4360" max="4360" width="12.42578125" bestFit="1" customWidth="1"/>
    <col min="4361" max="4364" width="11.42578125" bestFit="1" customWidth="1"/>
    <col min="4369" max="4369" width="7.7109375" customWidth="1"/>
    <col min="4373" max="4373" width="12.85546875" customWidth="1"/>
    <col min="4609" max="4615" width="11.42578125" bestFit="1" customWidth="1"/>
    <col min="4616" max="4616" width="12.42578125" bestFit="1" customWidth="1"/>
    <col min="4617" max="4620" width="11.42578125" bestFit="1" customWidth="1"/>
    <col min="4625" max="4625" width="7.7109375" customWidth="1"/>
    <col min="4629" max="4629" width="12.85546875" customWidth="1"/>
    <col min="4865" max="4871" width="11.42578125" bestFit="1" customWidth="1"/>
    <col min="4872" max="4872" width="12.42578125" bestFit="1" customWidth="1"/>
    <col min="4873" max="4876" width="11.42578125" bestFit="1" customWidth="1"/>
    <col min="4881" max="4881" width="7.7109375" customWidth="1"/>
    <col min="4885" max="4885" width="12.85546875" customWidth="1"/>
    <col min="5121" max="5127" width="11.42578125" bestFit="1" customWidth="1"/>
    <col min="5128" max="5128" width="12.42578125" bestFit="1" customWidth="1"/>
    <col min="5129" max="5132" width="11.42578125" bestFit="1" customWidth="1"/>
    <col min="5137" max="5137" width="7.7109375" customWidth="1"/>
    <col min="5141" max="5141" width="12.85546875" customWidth="1"/>
    <col min="5377" max="5383" width="11.42578125" bestFit="1" customWidth="1"/>
    <col min="5384" max="5384" width="12.42578125" bestFit="1" customWidth="1"/>
    <col min="5385" max="5388" width="11.42578125" bestFit="1" customWidth="1"/>
    <col min="5393" max="5393" width="7.7109375" customWidth="1"/>
    <col min="5397" max="5397" width="12.85546875" customWidth="1"/>
    <col min="5633" max="5639" width="11.42578125" bestFit="1" customWidth="1"/>
    <col min="5640" max="5640" width="12.42578125" bestFit="1" customWidth="1"/>
    <col min="5641" max="5644" width="11.42578125" bestFit="1" customWidth="1"/>
    <col min="5649" max="5649" width="7.7109375" customWidth="1"/>
    <col min="5653" max="5653" width="12.85546875" customWidth="1"/>
    <col min="5889" max="5895" width="11.42578125" bestFit="1" customWidth="1"/>
    <col min="5896" max="5896" width="12.42578125" bestFit="1" customWidth="1"/>
    <col min="5897" max="5900" width="11.42578125" bestFit="1" customWidth="1"/>
    <col min="5905" max="5905" width="7.7109375" customWidth="1"/>
    <col min="5909" max="5909" width="12.85546875" customWidth="1"/>
    <col min="6145" max="6151" width="11.42578125" bestFit="1" customWidth="1"/>
    <col min="6152" max="6152" width="12.42578125" bestFit="1" customWidth="1"/>
    <col min="6153" max="6156" width="11.42578125" bestFit="1" customWidth="1"/>
    <col min="6161" max="6161" width="7.7109375" customWidth="1"/>
    <col min="6165" max="6165" width="12.85546875" customWidth="1"/>
    <col min="6401" max="6407" width="11.42578125" bestFit="1" customWidth="1"/>
    <col min="6408" max="6408" width="12.42578125" bestFit="1" customWidth="1"/>
    <col min="6409" max="6412" width="11.42578125" bestFit="1" customWidth="1"/>
    <col min="6417" max="6417" width="7.7109375" customWidth="1"/>
    <col min="6421" max="6421" width="12.85546875" customWidth="1"/>
    <col min="6657" max="6663" width="11.42578125" bestFit="1" customWidth="1"/>
    <col min="6664" max="6664" width="12.42578125" bestFit="1" customWidth="1"/>
    <col min="6665" max="6668" width="11.42578125" bestFit="1" customWidth="1"/>
    <col min="6673" max="6673" width="7.7109375" customWidth="1"/>
    <col min="6677" max="6677" width="12.85546875" customWidth="1"/>
    <col min="6913" max="6919" width="11.42578125" bestFit="1" customWidth="1"/>
    <col min="6920" max="6920" width="12.42578125" bestFit="1" customWidth="1"/>
    <col min="6921" max="6924" width="11.42578125" bestFit="1" customWidth="1"/>
    <col min="6929" max="6929" width="7.7109375" customWidth="1"/>
    <col min="6933" max="6933" width="12.85546875" customWidth="1"/>
    <col min="7169" max="7175" width="11.42578125" bestFit="1" customWidth="1"/>
    <col min="7176" max="7176" width="12.42578125" bestFit="1" customWidth="1"/>
    <col min="7177" max="7180" width="11.42578125" bestFit="1" customWidth="1"/>
    <col min="7185" max="7185" width="7.7109375" customWidth="1"/>
    <col min="7189" max="7189" width="12.85546875" customWidth="1"/>
    <col min="7425" max="7431" width="11.42578125" bestFit="1" customWidth="1"/>
    <col min="7432" max="7432" width="12.42578125" bestFit="1" customWidth="1"/>
    <col min="7433" max="7436" width="11.42578125" bestFit="1" customWidth="1"/>
    <col min="7441" max="7441" width="7.7109375" customWidth="1"/>
    <col min="7445" max="7445" width="12.85546875" customWidth="1"/>
    <col min="7681" max="7687" width="11.42578125" bestFit="1" customWidth="1"/>
    <col min="7688" max="7688" width="12.42578125" bestFit="1" customWidth="1"/>
    <col min="7689" max="7692" width="11.42578125" bestFit="1" customWidth="1"/>
    <col min="7697" max="7697" width="7.7109375" customWidth="1"/>
    <col min="7701" max="7701" width="12.85546875" customWidth="1"/>
    <col min="7937" max="7943" width="11.42578125" bestFit="1" customWidth="1"/>
    <col min="7944" max="7944" width="12.42578125" bestFit="1" customWidth="1"/>
    <col min="7945" max="7948" width="11.42578125" bestFit="1" customWidth="1"/>
    <col min="7953" max="7953" width="7.7109375" customWidth="1"/>
    <col min="7957" max="7957" width="12.85546875" customWidth="1"/>
    <col min="8193" max="8199" width="11.42578125" bestFit="1" customWidth="1"/>
    <col min="8200" max="8200" width="12.42578125" bestFit="1" customWidth="1"/>
    <col min="8201" max="8204" width="11.42578125" bestFit="1" customWidth="1"/>
    <col min="8209" max="8209" width="7.7109375" customWidth="1"/>
    <col min="8213" max="8213" width="12.85546875" customWidth="1"/>
    <col min="8449" max="8455" width="11.42578125" bestFit="1" customWidth="1"/>
    <col min="8456" max="8456" width="12.42578125" bestFit="1" customWidth="1"/>
    <col min="8457" max="8460" width="11.42578125" bestFit="1" customWidth="1"/>
    <col min="8465" max="8465" width="7.7109375" customWidth="1"/>
    <col min="8469" max="8469" width="12.85546875" customWidth="1"/>
    <col min="8705" max="8711" width="11.42578125" bestFit="1" customWidth="1"/>
    <col min="8712" max="8712" width="12.42578125" bestFit="1" customWidth="1"/>
    <col min="8713" max="8716" width="11.42578125" bestFit="1" customWidth="1"/>
    <col min="8721" max="8721" width="7.7109375" customWidth="1"/>
    <col min="8725" max="8725" width="12.85546875" customWidth="1"/>
    <col min="8961" max="8967" width="11.42578125" bestFit="1" customWidth="1"/>
    <col min="8968" max="8968" width="12.42578125" bestFit="1" customWidth="1"/>
    <col min="8969" max="8972" width="11.42578125" bestFit="1" customWidth="1"/>
    <col min="8977" max="8977" width="7.7109375" customWidth="1"/>
    <col min="8981" max="8981" width="12.85546875" customWidth="1"/>
    <col min="9217" max="9223" width="11.42578125" bestFit="1" customWidth="1"/>
    <col min="9224" max="9224" width="12.42578125" bestFit="1" customWidth="1"/>
    <col min="9225" max="9228" width="11.42578125" bestFit="1" customWidth="1"/>
    <col min="9233" max="9233" width="7.7109375" customWidth="1"/>
    <col min="9237" max="9237" width="12.85546875" customWidth="1"/>
    <col min="9473" max="9479" width="11.42578125" bestFit="1" customWidth="1"/>
    <col min="9480" max="9480" width="12.42578125" bestFit="1" customWidth="1"/>
    <col min="9481" max="9484" width="11.42578125" bestFit="1" customWidth="1"/>
    <col min="9489" max="9489" width="7.7109375" customWidth="1"/>
    <col min="9493" max="9493" width="12.85546875" customWidth="1"/>
    <col min="9729" max="9735" width="11.42578125" bestFit="1" customWidth="1"/>
    <col min="9736" max="9736" width="12.42578125" bestFit="1" customWidth="1"/>
    <col min="9737" max="9740" width="11.42578125" bestFit="1" customWidth="1"/>
    <col min="9745" max="9745" width="7.7109375" customWidth="1"/>
    <col min="9749" max="9749" width="12.85546875" customWidth="1"/>
    <col min="9985" max="9991" width="11.42578125" bestFit="1" customWidth="1"/>
    <col min="9992" max="9992" width="12.42578125" bestFit="1" customWidth="1"/>
    <col min="9993" max="9996" width="11.42578125" bestFit="1" customWidth="1"/>
    <col min="10001" max="10001" width="7.7109375" customWidth="1"/>
    <col min="10005" max="10005" width="12.85546875" customWidth="1"/>
    <col min="10241" max="10247" width="11.42578125" bestFit="1" customWidth="1"/>
    <col min="10248" max="10248" width="12.42578125" bestFit="1" customWidth="1"/>
    <col min="10249" max="10252" width="11.42578125" bestFit="1" customWidth="1"/>
    <col min="10257" max="10257" width="7.7109375" customWidth="1"/>
    <col min="10261" max="10261" width="12.85546875" customWidth="1"/>
    <col min="10497" max="10503" width="11.42578125" bestFit="1" customWidth="1"/>
    <col min="10504" max="10504" width="12.42578125" bestFit="1" customWidth="1"/>
    <col min="10505" max="10508" width="11.42578125" bestFit="1" customWidth="1"/>
    <col min="10513" max="10513" width="7.7109375" customWidth="1"/>
    <col min="10517" max="10517" width="12.85546875" customWidth="1"/>
    <col min="10753" max="10759" width="11.42578125" bestFit="1" customWidth="1"/>
    <col min="10760" max="10760" width="12.42578125" bestFit="1" customWidth="1"/>
    <col min="10761" max="10764" width="11.42578125" bestFit="1" customWidth="1"/>
    <col min="10769" max="10769" width="7.7109375" customWidth="1"/>
    <col min="10773" max="10773" width="12.85546875" customWidth="1"/>
    <col min="11009" max="11015" width="11.42578125" bestFit="1" customWidth="1"/>
    <col min="11016" max="11016" width="12.42578125" bestFit="1" customWidth="1"/>
    <col min="11017" max="11020" width="11.42578125" bestFit="1" customWidth="1"/>
    <col min="11025" max="11025" width="7.7109375" customWidth="1"/>
    <col min="11029" max="11029" width="12.85546875" customWidth="1"/>
    <col min="11265" max="11271" width="11.42578125" bestFit="1" customWidth="1"/>
    <col min="11272" max="11272" width="12.42578125" bestFit="1" customWidth="1"/>
    <col min="11273" max="11276" width="11.42578125" bestFit="1" customWidth="1"/>
    <col min="11281" max="11281" width="7.7109375" customWidth="1"/>
    <col min="11285" max="11285" width="12.85546875" customWidth="1"/>
    <col min="11521" max="11527" width="11.42578125" bestFit="1" customWidth="1"/>
    <col min="11528" max="11528" width="12.42578125" bestFit="1" customWidth="1"/>
    <col min="11529" max="11532" width="11.42578125" bestFit="1" customWidth="1"/>
    <col min="11537" max="11537" width="7.7109375" customWidth="1"/>
    <col min="11541" max="11541" width="12.85546875" customWidth="1"/>
    <col min="11777" max="11783" width="11.42578125" bestFit="1" customWidth="1"/>
    <col min="11784" max="11784" width="12.42578125" bestFit="1" customWidth="1"/>
    <col min="11785" max="11788" width="11.42578125" bestFit="1" customWidth="1"/>
    <col min="11793" max="11793" width="7.7109375" customWidth="1"/>
    <col min="11797" max="11797" width="12.85546875" customWidth="1"/>
    <col min="12033" max="12039" width="11.42578125" bestFit="1" customWidth="1"/>
    <col min="12040" max="12040" width="12.42578125" bestFit="1" customWidth="1"/>
    <col min="12041" max="12044" width="11.42578125" bestFit="1" customWidth="1"/>
    <col min="12049" max="12049" width="7.7109375" customWidth="1"/>
    <col min="12053" max="12053" width="12.85546875" customWidth="1"/>
    <col min="12289" max="12295" width="11.42578125" bestFit="1" customWidth="1"/>
    <col min="12296" max="12296" width="12.42578125" bestFit="1" customWidth="1"/>
    <col min="12297" max="12300" width="11.42578125" bestFit="1" customWidth="1"/>
    <col min="12305" max="12305" width="7.7109375" customWidth="1"/>
    <col min="12309" max="12309" width="12.85546875" customWidth="1"/>
    <col min="12545" max="12551" width="11.42578125" bestFit="1" customWidth="1"/>
    <col min="12552" max="12552" width="12.42578125" bestFit="1" customWidth="1"/>
    <col min="12553" max="12556" width="11.42578125" bestFit="1" customWidth="1"/>
    <col min="12561" max="12561" width="7.7109375" customWidth="1"/>
    <col min="12565" max="12565" width="12.85546875" customWidth="1"/>
    <col min="12801" max="12807" width="11.42578125" bestFit="1" customWidth="1"/>
    <col min="12808" max="12808" width="12.42578125" bestFit="1" customWidth="1"/>
    <col min="12809" max="12812" width="11.42578125" bestFit="1" customWidth="1"/>
    <col min="12817" max="12817" width="7.7109375" customWidth="1"/>
    <col min="12821" max="12821" width="12.85546875" customWidth="1"/>
    <col min="13057" max="13063" width="11.42578125" bestFit="1" customWidth="1"/>
    <col min="13064" max="13064" width="12.42578125" bestFit="1" customWidth="1"/>
    <col min="13065" max="13068" width="11.42578125" bestFit="1" customWidth="1"/>
    <col min="13073" max="13073" width="7.7109375" customWidth="1"/>
    <col min="13077" max="13077" width="12.85546875" customWidth="1"/>
    <col min="13313" max="13319" width="11.42578125" bestFit="1" customWidth="1"/>
    <col min="13320" max="13320" width="12.42578125" bestFit="1" customWidth="1"/>
    <col min="13321" max="13324" width="11.42578125" bestFit="1" customWidth="1"/>
    <col min="13329" max="13329" width="7.7109375" customWidth="1"/>
    <col min="13333" max="13333" width="12.85546875" customWidth="1"/>
    <col min="13569" max="13575" width="11.42578125" bestFit="1" customWidth="1"/>
    <col min="13576" max="13576" width="12.42578125" bestFit="1" customWidth="1"/>
    <col min="13577" max="13580" width="11.42578125" bestFit="1" customWidth="1"/>
    <col min="13585" max="13585" width="7.7109375" customWidth="1"/>
    <col min="13589" max="13589" width="12.85546875" customWidth="1"/>
    <col min="13825" max="13831" width="11.42578125" bestFit="1" customWidth="1"/>
    <col min="13832" max="13832" width="12.42578125" bestFit="1" customWidth="1"/>
    <col min="13833" max="13836" width="11.42578125" bestFit="1" customWidth="1"/>
    <col min="13841" max="13841" width="7.7109375" customWidth="1"/>
    <col min="13845" max="13845" width="12.85546875" customWidth="1"/>
    <col min="14081" max="14087" width="11.42578125" bestFit="1" customWidth="1"/>
    <col min="14088" max="14088" width="12.42578125" bestFit="1" customWidth="1"/>
    <col min="14089" max="14092" width="11.42578125" bestFit="1" customWidth="1"/>
    <col min="14097" max="14097" width="7.7109375" customWidth="1"/>
    <col min="14101" max="14101" width="12.85546875" customWidth="1"/>
    <col min="14337" max="14343" width="11.42578125" bestFit="1" customWidth="1"/>
    <col min="14344" max="14344" width="12.42578125" bestFit="1" customWidth="1"/>
    <col min="14345" max="14348" width="11.42578125" bestFit="1" customWidth="1"/>
    <col min="14353" max="14353" width="7.7109375" customWidth="1"/>
    <col min="14357" max="14357" width="12.85546875" customWidth="1"/>
    <col min="14593" max="14599" width="11.42578125" bestFit="1" customWidth="1"/>
    <col min="14600" max="14600" width="12.42578125" bestFit="1" customWidth="1"/>
    <col min="14601" max="14604" width="11.42578125" bestFit="1" customWidth="1"/>
    <col min="14609" max="14609" width="7.7109375" customWidth="1"/>
    <col min="14613" max="14613" width="12.85546875" customWidth="1"/>
    <col min="14849" max="14855" width="11.42578125" bestFit="1" customWidth="1"/>
    <col min="14856" max="14856" width="12.42578125" bestFit="1" customWidth="1"/>
    <col min="14857" max="14860" width="11.42578125" bestFit="1" customWidth="1"/>
    <col min="14865" max="14865" width="7.7109375" customWidth="1"/>
    <col min="14869" max="14869" width="12.85546875" customWidth="1"/>
    <col min="15105" max="15111" width="11.42578125" bestFit="1" customWidth="1"/>
    <col min="15112" max="15112" width="12.42578125" bestFit="1" customWidth="1"/>
    <col min="15113" max="15116" width="11.42578125" bestFit="1" customWidth="1"/>
    <col min="15121" max="15121" width="7.7109375" customWidth="1"/>
    <col min="15125" max="15125" width="12.85546875" customWidth="1"/>
    <col min="15361" max="15367" width="11.42578125" bestFit="1" customWidth="1"/>
    <col min="15368" max="15368" width="12.42578125" bestFit="1" customWidth="1"/>
    <col min="15369" max="15372" width="11.42578125" bestFit="1" customWidth="1"/>
    <col min="15377" max="15377" width="7.7109375" customWidth="1"/>
    <col min="15381" max="15381" width="12.85546875" customWidth="1"/>
    <col min="15617" max="15623" width="11.42578125" bestFit="1" customWidth="1"/>
    <col min="15624" max="15624" width="12.42578125" bestFit="1" customWidth="1"/>
    <col min="15625" max="15628" width="11.42578125" bestFit="1" customWidth="1"/>
    <col min="15633" max="15633" width="7.7109375" customWidth="1"/>
    <col min="15637" max="15637" width="12.85546875" customWidth="1"/>
    <col min="15873" max="15879" width="11.42578125" bestFit="1" customWidth="1"/>
    <col min="15880" max="15880" width="12.42578125" bestFit="1" customWidth="1"/>
    <col min="15881" max="15884" width="11.42578125" bestFit="1" customWidth="1"/>
    <col min="15889" max="15889" width="7.7109375" customWidth="1"/>
    <col min="15893" max="15893" width="12.85546875" customWidth="1"/>
    <col min="16129" max="16135" width="11.42578125" bestFit="1" customWidth="1"/>
    <col min="16136" max="16136" width="12.42578125" bestFit="1" customWidth="1"/>
    <col min="16137" max="16140" width="11.42578125" bestFit="1" customWidth="1"/>
    <col min="16145" max="16145" width="7.7109375" customWidth="1"/>
    <col min="16149" max="16149" width="12.85546875" customWidth="1"/>
  </cols>
  <sheetData>
    <row r="1" spans="1:15" x14ac:dyDescent="0.2">
      <c r="A1" s="1" t="s">
        <v>0</v>
      </c>
      <c r="B1" s="24" t="s">
        <v>45</v>
      </c>
    </row>
    <row r="2" spans="1:15" x14ac:dyDescent="0.2">
      <c r="H2" s="2" t="s">
        <v>1</v>
      </c>
      <c r="I2" s="3">
        <v>0.69299999999999995</v>
      </c>
    </row>
    <row r="3" spans="1:15" x14ac:dyDescent="0.2">
      <c r="A3" s="28" t="s">
        <v>65</v>
      </c>
      <c r="B3" s="20" t="s">
        <v>68</v>
      </c>
      <c r="H3" s="2" t="s">
        <v>3</v>
      </c>
      <c r="I3" s="3">
        <v>6.0220000000000002</v>
      </c>
      <c r="J3" s="4" t="s">
        <v>4</v>
      </c>
    </row>
    <row r="4" spans="1:15" x14ac:dyDescent="0.2">
      <c r="A4" s="3" t="s">
        <v>66</v>
      </c>
      <c r="B4" s="2" t="s">
        <v>67</v>
      </c>
      <c r="K4" t="s">
        <v>5</v>
      </c>
      <c r="L4" s="20" t="s">
        <v>47</v>
      </c>
    </row>
    <row r="5" spans="1:15" x14ac:dyDescent="0.2">
      <c r="A5" s="3">
        <v>1</v>
      </c>
      <c r="B5">
        <v>0.80896000000000012</v>
      </c>
      <c r="H5" s="25" t="s">
        <v>46</v>
      </c>
      <c r="K5" s="20" t="s">
        <v>63</v>
      </c>
      <c r="L5" s="20" t="s">
        <v>48</v>
      </c>
    </row>
    <row r="6" spans="1:15" x14ac:dyDescent="0.2">
      <c r="A6" s="3">
        <f>A5+1</f>
        <v>2</v>
      </c>
      <c r="B6">
        <v>1.5897600000000001</v>
      </c>
      <c r="H6" s="3" t="s">
        <v>6</v>
      </c>
      <c r="I6">
        <v>4.468</v>
      </c>
      <c r="J6" t="s">
        <v>7</v>
      </c>
      <c r="K6">
        <v>0.9929</v>
      </c>
      <c r="L6">
        <v>238</v>
      </c>
    </row>
    <row r="7" spans="1:15" x14ac:dyDescent="0.2">
      <c r="A7" s="3">
        <f t="shared" ref="A7:A14" si="0">A6+1</f>
        <v>3</v>
      </c>
      <c r="B7">
        <v>2.5779200000000002</v>
      </c>
      <c r="H7" s="3" t="s">
        <v>8</v>
      </c>
      <c r="I7">
        <v>0.70379999999999998</v>
      </c>
      <c r="J7" t="s">
        <v>7</v>
      </c>
      <c r="K7">
        <v>7.1000000000000004E-3</v>
      </c>
      <c r="L7">
        <v>235</v>
      </c>
    </row>
    <row r="8" spans="1:15" x14ac:dyDescent="0.2">
      <c r="A8" s="3">
        <f t="shared" si="0"/>
        <v>4</v>
      </c>
      <c r="B8">
        <v>3.7759999999999998</v>
      </c>
      <c r="H8" s="3" t="s">
        <v>9</v>
      </c>
      <c r="I8">
        <v>14.05</v>
      </c>
      <c r="J8" t="s">
        <v>7</v>
      </c>
      <c r="L8">
        <v>232</v>
      </c>
    </row>
    <row r="9" spans="1:15" x14ac:dyDescent="0.2">
      <c r="A9" s="3">
        <f t="shared" si="0"/>
        <v>5</v>
      </c>
      <c r="B9">
        <v>5.1737599999999997</v>
      </c>
    </row>
    <row r="10" spans="1:15" x14ac:dyDescent="0.2">
      <c r="A10" s="3">
        <f t="shared" si="0"/>
        <v>6</v>
      </c>
      <c r="B10">
        <v>6.7635200000000015</v>
      </c>
      <c r="I10" s="25" t="s">
        <v>61</v>
      </c>
      <c r="K10" s="26" t="s">
        <v>49</v>
      </c>
      <c r="L10" s="3" t="s">
        <v>10</v>
      </c>
    </row>
    <row r="11" spans="1:15" x14ac:dyDescent="0.2">
      <c r="A11" s="3">
        <f t="shared" si="0"/>
        <v>7</v>
      </c>
      <c r="B11">
        <v>8.5401600000000002</v>
      </c>
      <c r="I11" s="20" t="s">
        <v>62</v>
      </c>
      <c r="K11" s="5" t="s">
        <v>11</v>
      </c>
      <c r="L11" s="5" t="s">
        <v>64</v>
      </c>
      <c r="N11" s="6" t="s">
        <v>50</v>
      </c>
    </row>
    <row r="12" spans="1:15" x14ac:dyDescent="0.2">
      <c r="A12" s="3">
        <f t="shared" si="0"/>
        <v>8</v>
      </c>
      <c r="B12">
        <v>10.490880000000001</v>
      </c>
      <c r="H12" s="3" t="s">
        <v>6</v>
      </c>
      <c r="I12" s="7">
        <f>K6*100000*(I2*I3)/(I6*L6)</f>
        <v>389.663184080257</v>
      </c>
      <c r="J12" t="s">
        <v>12</v>
      </c>
      <c r="K12" s="7">
        <f>J40</f>
        <v>46.546685465885957</v>
      </c>
      <c r="L12" s="23">
        <f>I12*K12</f>
        <v>18137.529667019342</v>
      </c>
    </row>
    <row r="13" spans="1:15" x14ac:dyDescent="0.2">
      <c r="A13" s="3">
        <f t="shared" si="0"/>
        <v>9</v>
      </c>
      <c r="B13">
        <v>12.61056</v>
      </c>
      <c r="H13" s="3" t="s">
        <v>8</v>
      </c>
      <c r="I13" s="7">
        <f>K7*100000*(I2*I3)/(I7*L7)</f>
        <v>17.914933884747239</v>
      </c>
      <c r="J13" t="s">
        <v>12</v>
      </c>
      <c r="K13" s="7">
        <f>J84</f>
        <v>47.128194360946367</v>
      </c>
      <c r="L13" s="23">
        <f>I13*K13</f>
        <v>844.29848608387181</v>
      </c>
      <c r="M13" s="9"/>
      <c r="N13" s="10" t="s">
        <v>13</v>
      </c>
      <c r="O13" s="11">
        <f>L12+L13</f>
        <v>18981.828153103215</v>
      </c>
    </row>
    <row r="14" spans="1:15" x14ac:dyDescent="0.2">
      <c r="A14" s="3">
        <f t="shared" si="0"/>
        <v>10</v>
      </c>
      <c r="B14">
        <v>14.901760000000001</v>
      </c>
      <c r="H14" s="3" t="s">
        <v>9</v>
      </c>
      <c r="I14" s="7">
        <f>100000*(I2*I3)/(I8*L8)</f>
        <v>128.02939010921583</v>
      </c>
      <c r="J14" t="s">
        <v>12</v>
      </c>
      <c r="K14" s="7">
        <f>J100</f>
        <v>41.494647676257138</v>
      </c>
      <c r="L14" s="23">
        <f>I14*K14</f>
        <v>5312.5344347879909</v>
      </c>
      <c r="M14" s="9"/>
      <c r="N14" s="10" t="s">
        <v>14</v>
      </c>
      <c r="O14" s="11">
        <f>L14</f>
        <v>5312.5344347879909</v>
      </c>
    </row>
    <row r="15" spans="1:15" x14ac:dyDescent="0.2">
      <c r="H15" s="3"/>
      <c r="I15" s="7"/>
      <c r="K15" s="7"/>
      <c r="L15" s="8"/>
      <c r="M15" s="30"/>
      <c r="N15" s="31"/>
      <c r="O15" s="32"/>
    </row>
    <row r="16" spans="1:15" x14ac:dyDescent="0.2">
      <c r="H16" s="3"/>
      <c r="I16" s="7"/>
      <c r="K16" s="7"/>
      <c r="L16" s="8"/>
      <c r="M16" s="30"/>
      <c r="N16" s="31"/>
      <c r="O16" s="32"/>
    </row>
    <row r="17" spans="1:24" x14ac:dyDescent="0.2">
      <c r="H17" s="3"/>
      <c r="I17" s="7"/>
      <c r="J17" s="21" t="s">
        <v>41</v>
      </c>
      <c r="K17" s="29">
        <f>J41</f>
        <v>28.178972256995507</v>
      </c>
      <c r="L17" s="22">
        <f>K17*I12</f>
        <v>10980.308053770095</v>
      </c>
      <c r="M17" s="30"/>
      <c r="N17" s="31"/>
      <c r="O17" s="32"/>
    </row>
    <row r="18" spans="1:24" x14ac:dyDescent="0.2">
      <c r="H18" s="3"/>
      <c r="I18" s="7"/>
      <c r="K18" s="7"/>
      <c r="L18" s="8"/>
      <c r="M18" s="30"/>
      <c r="N18" s="31"/>
      <c r="O18" s="32"/>
    </row>
    <row r="19" spans="1:24" x14ac:dyDescent="0.2">
      <c r="J19" s="21"/>
      <c r="K19" s="21"/>
      <c r="L19" s="22"/>
      <c r="N19" s="21"/>
      <c r="O19" s="22"/>
    </row>
    <row r="20" spans="1:24" x14ac:dyDescent="0.2">
      <c r="A20" s="12" t="s">
        <v>44</v>
      </c>
      <c r="N20" s="21"/>
      <c r="O20" s="22"/>
    </row>
    <row r="21" spans="1:24" x14ac:dyDescent="0.2">
      <c r="A21" s="2" t="s">
        <v>15</v>
      </c>
      <c r="B21" s="12">
        <v>-1.1999999999999999E-3</v>
      </c>
      <c r="L21" s="8"/>
    </row>
    <row r="22" spans="1:24" x14ac:dyDescent="0.2">
      <c r="A22" s="2" t="s">
        <v>16</v>
      </c>
      <c r="B22" s="12">
        <v>0.1139</v>
      </c>
      <c r="L22" s="8"/>
      <c r="O22" s="8"/>
    </row>
    <row r="23" spans="1:24" x14ac:dyDescent="0.2">
      <c r="A23" s="2" t="s">
        <v>17</v>
      </c>
      <c r="B23" s="12">
        <v>0.44450000000000001</v>
      </c>
    </row>
    <row r="24" spans="1:24" x14ac:dyDescent="0.2">
      <c r="A24" s="2" t="s">
        <v>18</v>
      </c>
      <c r="B24" s="12">
        <v>0.2525</v>
      </c>
      <c r="X24" s="14">
        <f>O21*P21</f>
        <v>0</v>
      </c>
    </row>
    <row r="25" spans="1:24" x14ac:dyDescent="0.2">
      <c r="X25" s="14">
        <f>O22*P22</f>
        <v>0</v>
      </c>
    </row>
    <row r="26" spans="1:24" x14ac:dyDescent="0.2">
      <c r="D26" s="27" t="s">
        <v>43</v>
      </c>
      <c r="L26" s="15"/>
    </row>
    <row r="27" spans="1:24" x14ac:dyDescent="0.2">
      <c r="A27" s="16" t="s">
        <v>56</v>
      </c>
      <c r="L27" s="15"/>
    </row>
    <row r="28" spans="1:24" x14ac:dyDescent="0.2">
      <c r="B28" s="17" t="s">
        <v>55</v>
      </c>
      <c r="C28" s="5" t="s">
        <v>2</v>
      </c>
      <c r="D28" s="3" t="s">
        <v>19</v>
      </c>
      <c r="E28" s="5" t="s">
        <v>54</v>
      </c>
      <c r="F28" s="5" t="s">
        <v>2</v>
      </c>
      <c r="G28" s="3" t="s">
        <v>19</v>
      </c>
      <c r="H28" s="5" t="s">
        <v>53</v>
      </c>
      <c r="I28" s="5" t="s">
        <v>20</v>
      </c>
      <c r="J28" s="17" t="s">
        <v>59</v>
      </c>
      <c r="L28" s="20" t="s">
        <v>60</v>
      </c>
    </row>
    <row r="29" spans="1:24" x14ac:dyDescent="0.2">
      <c r="A29" s="3" t="s">
        <v>6</v>
      </c>
      <c r="B29" s="3">
        <v>1</v>
      </c>
      <c r="C29" s="3">
        <v>4.1980000000000004</v>
      </c>
      <c r="D29" s="3">
        <v>79</v>
      </c>
      <c r="E29" s="3">
        <f>($B$21*C29*C29*C29+$B$22*C29*C29+$B$23*C29+$B$24)*D29/100</f>
        <v>3.1892420736723848</v>
      </c>
      <c r="F29" s="3">
        <v>4.1509999999999998</v>
      </c>
      <c r="G29" s="3">
        <v>21</v>
      </c>
      <c r="H29" s="3">
        <f>($B$21*F29*F29*F29+$B$22*F29*F29+$B$23*F29+$B$24)*G29/100</f>
        <v>0.83461931027134795</v>
      </c>
      <c r="I29" s="3">
        <f>D29+G29</f>
        <v>100</v>
      </c>
      <c r="J29" s="3">
        <f>(E29+H29)*B29</f>
        <v>4.0238613839437329</v>
      </c>
      <c r="K29">
        <f>B29</f>
        <v>1</v>
      </c>
      <c r="L29" s="7">
        <f>(C29*D29+F29*G29)/I29</f>
        <v>4.1881300000000001</v>
      </c>
      <c r="N29" s="21" t="s">
        <v>6</v>
      </c>
      <c r="O29" s="22">
        <f>389.663*J29</f>
        <v>1567.9498984516667</v>
      </c>
    </row>
    <row r="30" spans="1:24" x14ac:dyDescent="0.2">
      <c r="A30" s="3" t="s">
        <v>21</v>
      </c>
      <c r="B30" s="3">
        <v>1</v>
      </c>
      <c r="C30" s="3">
        <v>4.7746000000000004</v>
      </c>
      <c r="D30" s="3">
        <v>71.38</v>
      </c>
      <c r="E30" s="3">
        <f t="shared" ref="E30:E38" si="1">($B$21*C30*C30*C30+$B$22*C30*C30+$B$23*C30+$B$24)*D30/100</f>
        <v>3.4553281042179811</v>
      </c>
      <c r="F30" s="3">
        <v>4.7224000000000004</v>
      </c>
      <c r="G30" s="3">
        <v>28.42</v>
      </c>
      <c r="H30" s="3">
        <f t="shared" ref="H30:H38" si="2">($B$21*F30*F30*F30+$B$22*F30*F30+$B$23*F30+$B$24)*G30/100</f>
        <v>1.3543040274404075</v>
      </c>
      <c r="I30" s="3"/>
      <c r="J30" s="3">
        <f t="shared" ref="J30:J38" si="3">(E30+H30)*B30</f>
        <v>4.8096321316583888</v>
      </c>
      <c r="K30">
        <v>1</v>
      </c>
      <c r="N30" s="21" t="s">
        <v>21</v>
      </c>
      <c r="O30" s="22">
        <f>389.663*(J30+J31)</f>
        <v>1877.7170613567182</v>
      </c>
    </row>
    <row r="31" spans="1:24" x14ac:dyDescent="0.2">
      <c r="A31" s="3"/>
      <c r="B31" s="3">
        <v>1</v>
      </c>
      <c r="C31" s="3">
        <v>4.6035000000000004</v>
      </c>
      <c r="D31" s="3">
        <v>0.2</v>
      </c>
      <c r="E31" s="3">
        <f t="shared" si="1"/>
        <v>9.1909574127271021E-3</v>
      </c>
      <c r="F31" s="3"/>
      <c r="G31" s="3"/>
      <c r="H31" s="3">
        <f t="shared" si="2"/>
        <v>0</v>
      </c>
      <c r="I31" s="3">
        <f>SUM(D30:D31,G30:G31)</f>
        <v>100</v>
      </c>
      <c r="J31" s="3">
        <f t="shared" si="3"/>
        <v>9.1909574127271021E-3</v>
      </c>
      <c r="K31">
        <f>B31</f>
        <v>1</v>
      </c>
      <c r="L31" s="7">
        <f>(C30*D30+F30*G30+C31*D31)/I31</f>
        <v>4.7594225600000009</v>
      </c>
      <c r="N31" s="21"/>
      <c r="O31" s="22"/>
    </row>
    <row r="32" spans="1:24" x14ac:dyDescent="0.2">
      <c r="A32" s="3" t="s">
        <v>22</v>
      </c>
      <c r="B32" s="3">
        <v>1</v>
      </c>
      <c r="C32" s="3">
        <v>4.6870000000000003</v>
      </c>
      <c r="D32" s="3">
        <v>76.3</v>
      </c>
      <c r="E32" s="3">
        <f t="shared" si="1"/>
        <v>3.5971379580076337</v>
      </c>
      <c r="F32" s="3">
        <v>4.6204999999999998</v>
      </c>
      <c r="G32" s="3">
        <v>23.4</v>
      </c>
      <c r="H32" s="3">
        <f t="shared" si="2"/>
        <v>1.0809849676384631</v>
      </c>
      <c r="J32" s="3">
        <f>(E32+H32)*B32</f>
        <v>4.6781229256460968</v>
      </c>
      <c r="N32" s="21" t="s">
        <v>42</v>
      </c>
      <c r="O32" s="22">
        <f>389.663*SUM(J32:J38)</f>
        <v>14691.854138885132</v>
      </c>
    </row>
    <row r="33" spans="1:17" x14ac:dyDescent="0.2">
      <c r="A33" s="3"/>
      <c r="B33" s="3">
        <v>1</v>
      </c>
      <c r="C33" s="3">
        <v>4.4798</v>
      </c>
      <c r="D33" s="3">
        <v>0.12</v>
      </c>
      <c r="E33" s="3">
        <f t="shared" si="1"/>
        <v>5.3060418424786685E-3</v>
      </c>
      <c r="F33" s="3">
        <v>4.4383999999999997</v>
      </c>
      <c r="G33" s="3">
        <v>0.03</v>
      </c>
      <c r="H33" s="3">
        <f t="shared" si="2"/>
        <v>1.3092627867017626E-3</v>
      </c>
      <c r="I33" s="3">
        <f>SUM(D32:D33,G32:G33)</f>
        <v>99.85</v>
      </c>
      <c r="J33" s="3">
        <f>(E33+H33)*B33</f>
        <v>6.6153046291804306E-3</v>
      </c>
      <c r="K33">
        <f>B33</f>
        <v>1</v>
      </c>
      <c r="L33" s="7">
        <f>(C32*D32+F32*G32+C33*D33+F33*G33)/I33</f>
        <v>4.6710919178768151</v>
      </c>
      <c r="N33" s="13"/>
    </row>
    <row r="34" spans="1:17" x14ac:dyDescent="0.2">
      <c r="A34" s="3" t="s">
        <v>23</v>
      </c>
      <c r="B34" s="3">
        <v>1</v>
      </c>
      <c r="C34" s="3">
        <v>4.7843400000000003</v>
      </c>
      <c r="D34" s="3">
        <v>94.45</v>
      </c>
      <c r="E34" s="3">
        <f t="shared" si="1"/>
        <v>4.585437996476017</v>
      </c>
      <c r="F34" s="3">
        <v>4.601</v>
      </c>
      <c r="G34" s="3">
        <v>5.55</v>
      </c>
      <c r="H34" s="3">
        <f t="shared" si="2"/>
        <v>0.25485250912430346</v>
      </c>
      <c r="I34" s="3">
        <f>D34+G34</f>
        <v>100</v>
      </c>
      <c r="J34" s="3">
        <f t="shared" si="3"/>
        <v>4.8402905056003203</v>
      </c>
      <c r="K34">
        <f>B34</f>
        <v>1</v>
      </c>
      <c r="L34" s="7">
        <f>(C34*D34+F34*G34)/I34</f>
        <v>4.7741646300000005</v>
      </c>
    </row>
    <row r="35" spans="1:17" x14ac:dyDescent="0.2">
      <c r="A35" s="3" t="s">
        <v>24</v>
      </c>
      <c r="B35" s="3">
        <v>1</v>
      </c>
      <c r="C35" s="3">
        <v>5.4894999999999996</v>
      </c>
      <c r="D35" s="3">
        <v>99.92</v>
      </c>
      <c r="E35" s="3">
        <f t="shared" si="1"/>
        <v>5.9216650010134186</v>
      </c>
      <c r="F35" s="3">
        <v>4.9870000000000001</v>
      </c>
      <c r="G35" s="3">
        <v>7.8E-2</v>
      </c>
      <c r="H35" s="3">
        <f t="shared" si="2"/>
        <v>4.019418553594392E-3</v>
      </c>
      <c r="I35" s="3">
        <f>D35+G35</f>
        <v>99.998000000000005</v>
      </c>
      <c r="J35" s="3">
        <f t="shared" si="3"/>
        <v>5.9256844195670126</v>
      </c>
      <c r="K35">
        <f>B35</f>
        <v>1</v>
      </c>
      <c r="L35" s="7">
        <f>(C35*D35+F35*G35)/I35</f>
        <v>5.4891080421608427</v>
      </c>
      <c r="O35" s="23"/>
    </row>
    <row r="36" spans="1:17" x14ac:dyDescent="0.2">
      <c r="A36" s="3" t="s">
        <v>25</v>
      </c>
      <c r="B36" s="3">
        <v>1</v>
      </c>
      <c r="C36" s="3">
        <v>6.0023499999999999</v>
      </c>
      <c r="D36" s="3">
        <v>99.978899999999996</v>
      </c>
      <c r="E36" s="3">
        <f t="shared" si="1"/>
        <v>6.7632251630326827</v>
      </c>
      <c r="F36" s="3">
        <v>5.181</v>
      </c>
      <c r="G36" s="3">
        <v>1.1000000000000001E-3</v>
      </c>
      <c r="H36" s="3">
        <f t="shared" si="2"/>
        <v>5.9905539806318822E-5</v>
      </c>
      <c r="I36" s="3">
        <f>D36+G36</f>
        <v>99.97999999999999</v>
      </c>
      <c r="J36" s="3">
        <f t="shared" si="3"/>
        <v>6.7632850685724888</v>
      </c>
      <c r="K36">
        <v>1</v>
      </c>
      <c r="L36" s="7">
        <f>(C36*D36+F36*G36)/I36</f>
        <v>6.0023409633426681</v>
      </c>
    </row>
    <row r="37" spans="1:17" x14ac:dyDescent="0.2">
      <c r="A37" s="3" t="s">
        <v>26</v>
      </c>
      <c r="B37" s="3">
        <v>1</v>
      </c>
      <c r="C37" s="3">
        <v>7.68682</v>
      </c>
      <c r="D37" s="3">
        <v>99.989500000000007</v>
      </c>
      <c r="E37" s="3">
        <f t="shared" si="1"/>
        <v>9.8532578436849061</v>
      </c>
      <c r="F37" s="3">
        <v>6.9021999999999997</v>
      </c>
      <c r="G37" s="3">
        <v>0.01</v>
      </c>
      <c r="H37" s="3">
        <f t="shared" si="2"/>
        <v>8.3521774638376216E-4</v>
      </c>
      <c r="I37" s="3">
        <f>D37+G37</f>
        <v>99.999500000000012</v>
      </c>
      <c r="J37" s="3">
        <f t="shared" si="3"/>
        <v>9.8540930614312892</v>
      </c>
      <c r="K37">
        <v>1</v>
      </c>
      <c r="L37" s="7">
        <f>(C37*D37+F37*G37)/I37</f>
        <v>7.6867415376076877</v>
      </c>
    </row>
    <row r="38" spans="1:17" x14ac:dyDescent="0.2">
      <c r="A38" s="3" t="s">
        <v>27</v>
      </c>
      <c r="B38" s="3">
        <v>1</v>
      </c>
      <c r="C38" s="3">
        <v>5.3043300000000002</v>
      </c>
      <c r="D38" s="3">
        <v>100</v>
      </c>
      <c r="E38" s="3">
        <f t="shared" si="1"/>
        <v>5.6358649779532799</v>
      </c>
      <c r="F38" s="3">
        <v>4.5164999999999997</v>
      </c>
      <c r="G38" s="3">
        <v>1E-3</v>
      </c>
      <c r="H38" s="3">
        <f t="shared" si="2"/>
        <v>4.4729471434344509E-5</v>
      </c>
      <c r="I38" s="3">
        <f>D38+G38</f>
        <v>100.001</v>
      </c>
      <c r="J38" s="3">
        <f t="shared" si="3"/>
        <v>5.6359097074247142</v>
      </c>
      <c r="K38">
        <f>B38</f>
        <v>1</v>
      </c>
      <c r="L38" s="7">
        <f>(C38*D38+F38*G38)/I38</f>
        <v>5.3043221217787817</v>
      </c>
    </row>
    <row r="39" spans="1:17" x14ac:dyDescent="0.2">
      <c r="H39" s="17" t="s">
        <v>51</v>
      </c>
      <c r="I39" s="17">
        <f>AVERAGE(I29:I38)</f>
        <v>99.978562499999995</v>
      </c>
      <c r="L39" s="7"/>
    </row>
    <row r="40" spans="1:17" x14ac:dyDescent="0.2">
      <c r="H40" s="25" t="s">
        <v>52</v>
      </c>
      <c r="J40">
        <f>SUM(J29:J38)</f>
        <v>46.546685465885957</v>
      </c>
    </row>
    <row r="41" spans="1:17" x14ac:dyDescent="0.2">
      <c r="H41" s="21" t="s">
        <v>41</v>
      </c>
      <c r="J41" s="21">
        <f>SUM(J35:J38)</f>
        <v>28.178972256995507</v>
      </c>
      <c r="P41" s="18"/>
      <c r="Q41" s="18"/>
    </row>
    <row r="42" spans="1:17" x14ac:dyDescent="0.2">
      <c r="A42" s="16" t="s">
        <v>57</v>
      </c>
      <c r="P42" s="19"/>
      <c r="Q42" s="19"/>
    </row>
    <row r="43" spans="1:17" x14ac:dyDescent="0.2">
      <c r="B43" s="17" t="s">
        <v>55</v>
      </c>
      <c r="C43" s="5" t="s">
        <v>2</v>
      </c>
      <c r="D43" s="3" t="s">
        <v>19</v>
      </c>
      <c r="E43" s="5" t="s">
        <v>54</v>
      </c>
      <c r="F43" s="5" t="s">
        <v>2</v>
      </c>
      <c r="G43" s="3" t="s">
        <v>19</v>
      </c>
      <c r="H43" s="5" t="s">
        <v>53</v>
      </c>
      <c r="I43" s="5" t="s">
        <v>20</v>
      </c>
      <c r="J43" s="17" t="s">
        <v>59</v>
      </c>
      <c r="L43" s="20" t="s">
        <v>60</v>
      </c>
      <c r="P43" s="18"/>
      <c r="Q43" s="18"/>
    </row>
    <row r="44" spans="1:17" x14ac:dyDescent="0.2">
      <c r="A44" s="3" t="s">
        <v>8</v>
      </c>
      <c r="B44" s="3">
        <v>1</v>
      </c>
      <c r="C44" s="3">
        <v>4.3978000000000002</v>
      </c>
      <c r="D44" s="3">
        <v>55</v>
      </c>
      <c r="E44" s="3">
        <f>($B$21*C44*C44*C44+$B$22*C44*C44+$B$23*C44+$B$24)*D44/100</f>
        <v>2.3694847010027478</v>
      </c>
      <c r="F44" s="3">
        <v>4.3661000000000003</v>
      </c>
      <c r="G44" s="3">
        <v>17</v>
      </c>
      <c r="H44" s="3">
        <f>($B$21*F44*F44*F44+$B$22*F44*F44+$B$23*F44+$B$24)*G44/100</f>
        <v>0.72498394389601883</v>
      </c>
      <c r="I44" s="3"/>
      <c r="J44" s="3">
        <f>(E44+H44)*B44</f>
        <v>3.0944686448987664</v>
      </c>
      <c r="L44" s="7">
        <f>(C44*D44+F44*G44+C45*D45+F45*G45+C46*D46+F46*G46+C47*D47+F47*G47+C48*D48+F48*G48+C49*D49+F49*G49+C50*D50+F50*G50+C51*D51+F51*G51+C52*D52+F52*G52+C53*D53+F53*G53)/I51</f>
        <v>4.3928106712285784</v>
      </c>
    </row>
    <row r="45" spans="1:17" x14ac:dyDescent="0.2">
      <c r="A45" s="3"/>
      <c r="B45" s="3">
        <v>1</v>
      </c>
      <c r="C45" s="3">
        <v>4.2146999999999997</v>
      </c>
      <c r="D45" s="3">
        <v>5.7</v>
      </c>
      <c r="E45" s="3">
        <f t="shared" ref="E45:E82" si="4">($B$21*C45*C45*C45+$B$22*C45*C45+$B$23*C45+$B$24)*D45/100</f>
        <v>0.23138447502122722</v>
      </c>
      <c r="F45" s="3">
        <v>4.5964</v>
      </c>
      <c r="G45" s="3">
        <v>5</v>
      </c>
      <c r="H45" s="3">
        <f t="shared" ref="H45:H82" si="5">($B$21*F45*F45*F45+$B$22*F45*F45+$B$23*F45+$B$24)*G45/100</f>
        <v>0.22927118635911939</v>
      </c>
      <c r="I45" s="3"/>
      <c r="J45" s="3">
        <f t="shared" ref="J45:J82" si="6">(E45+H45)*B45</f>
        <v>0.46065566138034664</v>
      </c>
    </row>
    <row r="46" spans="1:17" x14ac:dyDescent="0.2">
      <c r="A46" s="3"/>
      <c r="B46" s="3">
        <v>1</v>
      </c>
      <c r="C46" s="3">
        <v>4.3253000000000004</v>
      </c>
      <c r="D46" s="3">
        <v>4.4000000000000004</v>
      </c>
      <c r="E46" s="3">
        <f t="shared" si="4"/>
        <v>0.18518982772508544</v>
      </c>
      <c r="F46" s="3">
        <v>4.556</v>
      </c>
      <c r="G46" s="3">
        <v>4.2</v>
      </c>
      <c r="H46" s="3">
        <f t="shared" si="5"/>
        <v>0.19019264781135362</v>
      </c>
      <c r="I46" s="3"/>
      <c r="J46" s="3">
        <f t="shared" si="6"/>
        <v>0.37538247553643905</v>
      </c>
    </row>
    <row r="47" spans="1:17" x14ac:dyDescent="0.2">
      <c r="A47" s="3"/>
      <c r="B47" s="3">
        <v>1</v>
      </c>
      <c r="C47" s="3">
        <v>4.4139999999999997</v>
      </c>
      <c r="D47" s="3">
        <v>2.1</v>
      </c>
      <c r="E47" s="3">
        <f t="shared" si="4"/>
        <v>9.0940125201811217E-2</v>
      </c>
      <c r="F47" s="3">
        <v>4.5019999999999998</v>
      </c>
      <c r="G47" s="3">
        <v>1.7</v>
      </c>
      <c r="H47" s="3">
        <f t="shared" si="5"/>
        <v>7.56953694434368E-2</v>
      </c>
      <c r="I47" s="3"/>
      <c r="J47" s="3">
        <f t="shared" si="6"/>
        <v>0.16663549464524802</v>
      </c>
    </row>
    <row r="48" spans="1:17" x14ac:dyDescent="0.2">
      <c r="A48" s="3"/>
      <c r="B48" s="3">
        <v>1</v>
      </c>
      <c r="C48" s="3">
        <v>4.2190000000000003</v>
      </c>
      <c r="D48" s="3">
        <v>0.9</v>
      </c>
      <c r="E48" s="3">
        <f t="shared" si="4"/>
        <v>3.6586290738142804E-2</v>
      </c>
      <c r="F48" s="3">
        <v>4.1500000000000004</v>
      </c>
      <c r="G48" s="3">
        <v>0.9</v>
      </c>
      <c r="H48" s="3">
        <f t="shared" si="5"/>
        <v>3.5757447300000002E-2</v>
      </c>
      <c r="J48" s="3">
        <f t="shared" si="6"/>
        <v>7.2343738038142813E-2</v>
      </c>
    </row>
    <row r="49" spans="1:12" x14ac:dyDescent="0.2">
      <c r="A49" s="3"/>
      <c r="B49" s="3">
        <v>1</v>
      </c>
      <c r="C49" s="3">
        <v>4.4349999999999996</v>
      </c>
      <c r="D49" s="3">
        <v>0.7</v>
      </c>
      <c r="E49" s="3">
        <f t="shared" si="4"/>
        <v>3.0516518284349998E-2</v>
      </c>
      <c r="F49" s="3">
        <v>4.2709999999999999</v>
      </c>
      <c r="G49" s="3">
        <v>0.4</v>
      </c>
      <c r="H49" s="3">
        <f t="shared" si="5"/>
        <v>1.65406743859472E-2</v>
      </c>
      <c r="J49" s="3">
        <f t="shared" si="6"/>
        <v>4.7057192670297197E-2</v>
      </c>
    </row>
    <row r="50" spans="1:12" x14ac:dyDescent="0.2">
      <c r="A50" s="3"/>
      <c r="B50" s="3">
        <v>1</v>
      </c>
      <c r="C50" s="3">
        <v>4.3619000000000003</v>
      </c>
      <c r="D50" s="3">
        <v>0.24</v>
      </c>
      <c r="E50" s="3">
        <f t="shared" si="4"/>
        <v>1.0221257248426104E-2</v>
      </c>
      <c r="F50" s="3">
        <v>4.3280000000000003</v>
      </c>
      <c r="G50" s="3">
        <v>0.21</v>
      </c>
      <c r="H50" s="3">
        <f t="shared" si="5"/>
        <v>8.8463320321689604E-3</v>
      </c>
      <c r="J50" s="3">
        <f t="shared" si="6"/>
        <v>1.9067589280595064E-2</v>
      </c>
    </row>
    <row r="51" spans="1:12" x14ac:dyDescent="0.2">
      <c r="A51" s="3"/>
      <c r="B51" s="3">
        <v>1</v>
      </c>
      <c r="C51" s="3">
        <v>4.3808999999999996</v>
      </c>
      <c r="D51" s="3">
        <v>0.16</v>
      </c>
      <c r="E51" s="3">
        <f t="shared" si="4"/>
        <v>6.8558654611680725E-3</v>
      </c>
      <c r="F51" s="3">
        <v>4.2869000000000002</v>
      </c>
      <c r="G51" s="3">
        <v>0.1</v>
      </c>
      <c r="H51" s="3">
        <f t="shared" si="5"/>
        <v>4.1566865569539098E-3</v>
      </c>
      <c r="I51" s="3">
        <f>SUM(D44:D53,G44:G53)</f>
        <v>98.789000000000001</v>
      </c>
      <c r="J51" s="3">
        <f t="shared" si="6"/>
        <v>1.1012552018121981E-2</v>
      </c>
    </row>
    <row r="52" spans="1:12" x14ac:dyDescent="0.2">
      <c r="A52" s="3"/>
      <c r="B52" s="3">
        <v>1</v>
      </c>
      <c r="C52" s="3">
        <v>4.2792000000000003</v>
      </c>
      <c r="D52" s="3">
        <v>3.3000000000000002E-2</v>
      </c>
      <c r="E52" s="3">
        <f t="shared" si="4"/>
        <v>1.3682656978410734E-3</v>
      </c>
      <c r="F52" s="3">
        <v>4.0766</v>
      </c>
      <c r="G52" s="3">
        <v>0.02</v>
      </c>
      <c r="H52" s="3">
        <f t="shared" si="5"/>
        <v>7.7522354857477698E-4</v>
      </c>
      <c r="I52" s="3"/>
      <c r="J52" s="3">
        <f t="shared" si="6"/>
        <v>2.1434892464158506E-3</v>
      </c>
    </row>
    <row r="53" spans="1:12" x14ac:dyDescent="0.2">
      <c r="A53" s="3"/>
      <c r="B53" s="3">
        <v>1</v>
      </c>
      <c r="C53" s="3">
        <v>4.2194000000000003</v>
      </c>
      <c r="D53" s="3">
        <v>1.7000000000000001E-2</v>
      </c>
      <c r="E53" s="3">
        <f t="shared" si="4"/>
        <v>6.9116560586145387E-4</v>
      </c>
      <c r="F53" s="3">
        <v>4.3019999999999996</v>
      </c>
      <c r="G53" s="3">
        <v>8.9999999999999993E-3</v>
      </c>
      <c r="H53" s="3">
        <f t="shared" si="5"/>
        <v>3.7594511511033596E-4</v>
      </c>
      <c r="I53" s="3"/>
      <c r="J53" s="3">
        <f t="shared" si="6"/>
        <v>1.0671107209717899E-3</v>
      </c>
    </row>
    <row r="54" spans="1:12" x14ac:dyDescent="0.2">
      <c r="A54" s="3" t="s">
        <v>28</v>
      </c>
      <c r="B54" s="3">
        <v>1</v>
      </c>
      <c r="C54" s="3">
        <v>5.0137999999999998</v>
      </c>
      <c r="D54" s="3">
        <v>25.4</v>
      </c>
      <c r="E54" s="3">
        <f t="shared" si="4"/>
        <v>1.3190546542507477</v>
      </c>
      <c r="F54" s="3">
        <v>4.9512999999999998</v>
      </c>
      <c r="G54" s="3">
        <v>22.8</v>
      </c>
      <c r="H54" s="3">
        <f t="shared" si="5"/>
        <v>1.1627986624773445</v>
      </c>
      <c r="I54" s="3"/>
      <c r="J54" s="3">
        <f t="shared" si="6"/>
        <v>2.4818533167280923</v>
      </c>
      <c r="L54" s="7">
        <f>(C54*D54+F54*G54+C55*D55+F55*G55+C56*D56+F56*G56+C57*D57+F57*G57+C58*D58+F58*G58+C59*D59+F59*G59+C60*D60+F60*G60)/I58</f>
        <v>4.9701389898989898</v>
      </c>
    </row>
    <row r="55" spans="1:12" x14ac:dyDescent="0.2">
      <c r="A55" s="3"/>
      <c r="B55" s="3">
        <v>1</v>
      </c>
      <c r="C55" s="3">
        <v>5.0284000000000004</v>
      </c>
      <c r="D55" s="3">
        <v>20</v>
      </c>
      <c r="E55" s="3">
        <f t="shared" si="4"/>
        <v>1.0429985443232872</v>
      </c>
      <c r="F55" s="3">
        <v>5.0586000000000002</v>
      </c>
      <c r="G55" s="3">
        <v>11</v>
      </c>
      <c r="H55" s="3">
        <f t="shared" si="5"/>
        <v>0.57863829928167265</v>
      </c>
      <c r="I55" s="3"/>
      <c r="J55" s="3">
        <f t="shared" si="6"/>
        <v>1.6216368436049597</v>
      </c>
    </row>
    <row r="56" spans="1:12" x14ac:dyDescent="0.2">
      <c r="A56" s="3"/>
      <c r="B56" s="3">
        <v>1</v>
      </c>
      <c r="C56" s="3">
        <v>4.7359999999999998</v>
      </c>
      <c r="D56" s="3">
        <v>8.4</v>
      </c>
      <c r="E56" s="3">
        <f t="shared" si="4"/>
        <v>0.40193344179179524</v>
      </c>
      <c r="F56" s="3">
        <v>4.9340000000000002</v>
      </c>
      <c r="G56" s="3">
        <v>3</v>
      </c>
      <c r="H56" s="3">
        <f t="shared" si="5"/>
        <v>0.15223041256185602</v>
      </c>
      <c r="I56" s="3"/>
      <c r="J56" s="3">
        <f t="shared" si="6"/>
        <v>0.55416385435365123</v>
      </c>
    </row>
    <row r="57" spans="1:12" x14ac:dyDescent="0.2">
      <c r="A57" s="3"/>
      <c r="B57" s="3">
        <v>1</v>
      </c>
      <c r="C57" s="3">
        <v>5.032</v>
      </c>
      <c r="D57" s="3">
        <v>2.5</v>
      </c>
      <c r="E57" s="3">
        <f t="shared" si="4"/>
        <v>0.13050975405696</v>
      </c>
      <c r="F57" s="3">
        <v>4.681</v>
      </c>
      <c r="G57" s="3">
        <v>1.5</v>
      </c>
      <c r="H57" s="3">
        <f t="shared" si="5"/>
        <v>7.0588070010161999E-2</v>
      </c>
      <c r="I57" s="3"/>
      <c r="J57" s="3">
        <f t="shared" si="6"/>
        <v>0.20109782406712201</v>
      </c>
    </row>
    <row r="58" spans="1:12" x14ac:dyDescent="0.2">
      <c r="A58" s="3"/>
      <c r="B58" s="3">
        <v>1</v>
      </c>
      <c r="C58" s="3">
        <v>4.9859999999999998</v>
      </c>
      <c r="D58" s="3">
        <v>1.4</v>
      </c>
      <c r="E58" s="3">
        <f t="shared" si="4"/>
        <v>7.2122537195699207E-2</v>
      </c>
      <c r="F58" s="3">
        <v>4.8529999999999998</v>
      </c>
      <c r="G58" s="3">
        <v>1.4</v>
      </c>
      <c r="H58" s="3">
        <f t="shared" si="5"/>
        <v>6.9370442608986393E-2</v>
      </c>
      <c r="I58" s="3">
        <f>SUM(D54:D60,G54:G60)</f>
        <v>99</v>
      </c>
      <c r="J58" s="3">
        <f t="shared" si="6"/>
        <v>0.14149297980468561</v>
      </c>
    </row>
    <row r="59" spans="1:12" x14ac:dyDescent="0.2">
      <c r="A59" s="3"/>
      <c r="B59" s="3">
        <v>1</v>
      </c>
      <c r="C59" s="3">
        <v>4.9749999999999996</v>
      </c>
      <c r="D59" s="3">
        <v>0.4</v>
      </c>
      <c r="E59" s="3">
        <f t="shared" si="4"/>
        <v>2.0540889825000002E-2</v>
      </c>
      <c r="F59" s="3">
        <v>4.7130000000000001</v>
      </c>
      <c r="G59" s="3">
        <v>1</v>
      </c>
      <c r="H59" s="3">
        <f t="shared" si="5"/>
        <v>4.7517930549836003E-2</v>
      </c>
      <c r="I59" s="3"/>
      <c r="J59" s="3">
        <f t="shared" si="6"/>
        <v>6.8058820374836002E-2</v>
      </c>
    </row>
    <row r="60" spans="1:12" x14ac:dyDescent="0.2">
      <c r="A60" s="3"/>
      <c r="B60" s="3">
        <v>1</v>
      </c>
      <c r="C60" s="3">
        <v>4.6429999999999998</v>
      </c>
      <c r="D60" s="3">
        <v>0.1</v>
      </c>
      <c r="E60" s="3">
        <f t="shared" si="4"/>
        <v>4.6515974582516002E-3</v>
      </c>
      <c r="F60" s="3">
        <v>4.6319999999999997</v>
      </c>
      <c r="G60" s="3">
        <v>0.1</v>
      </c>
      <c r="H60" s="3">
        <f t="shared" si="5"/>
        <v>4.6359389648383993E-3</v>
      </c>
      <c r="I60" s="3"/>
      <c r="J60" s="3">
        <f t="shared" si="6"/>
        <v>9.2875364230899995E-3</v>
      </c>
    </row>
    <row r="61" spans="1:12" x14ac:dyDescent="0.2">
      <c r="A61" s="3" t="s">
        <v>29</v>
      </c>
      <c r="B61" s="3">
        <v>0.98599999999999999</v>
      </c>
      <c r="C61" s="3">
        <v>6.0380099999999999</v>
      </c>
      <c r="D61" s="3">
        <v>24.2</v>
      </c>
      <c r="E61" s="3">
        <f t="shared" si="4"/>
        <v>1.6515906379950374</v>
      </c>
      <c r="F61" s="3">
        <v>5.9777199999999997</v>
      </c>
      <c r="G61" s="3">
        <v>23.5</v>
      </c>
      <c r="H61" s="3">
        <f t="shared" si="5"/>
        <v>1.5799702253883467</v>
      </c>
      <c r="I61" s="3"/>
      <c r="J61" s="3">
        <f t="shared" si="6"/>
        <v>3.1863190112960167</v>
      </c>
      <c r="L61" s="7">
        <f>(C61*D61+F61*G61+C62*D62+F62*G62+C63*D63+F63*G63+C64*D64+F64*G64+C65*D65+F65*G65+C66*D66+F66*G66+C67*D67+F67*G67+C68*D68+F68*G68+C69*D69+F69*G69)/I66</f>
        <v>5.883717996376701</v>
      </c>
    </row>
    <row r="62" spans="1:12" x14ac:dyDescent="0.2">
      <c r="A62" s="3"/>
      <c r="B62" s="3">
        <v>0.98599999999999999</v>
      </c>
      <c r="C62" s="3">
        <v>5.7568700000000002</v>
      </c>
      <c r="D62" s="3">
        <v>20.399999999999999</v>
      </c>
      <c r="E62" s="3">
        <f t="shared" si="4"/>
        <v>1.2968895225468458</v>
      </c>
      <c r="F62" s="3">
        <v>5.7088000000000001</v>
      </c>
      <c r="G62" s="3">
        <v>8.3000000000000007</v>
      </c>
      <c r="H62" s="3">
        <f t="shared" si="5"/>
        <v>0.52114416781234307</v>
      </c>
      <c r="I62" s="3"/>
      <c r="J62" s="3">
        <f t="shared" si="6"/>
        <v>1.7925812186941601</v>
      </c>
    </row>
    <row r="63" spans="1:12" x14ac:dyDescent="0.2">
      <c r="A63" s="3"/>
      <c r="B63" s="3">
        <v>0.98599999999999999</v>
      </c>
      <c r="C63" s="3">
        <v>5.7131999999999996</v>
      </c>
      <c r="D63" s="3">
        <v>4.8899999999999997</v>
      </c>
      <c r="E63" s="3">
        <f t="shared" si="4"/>
        <v>0.30738583105209355</v>
      </c>
      <c r="F63" s="3">
        <v>5.7008000000000001</v>
      </c>
      <c r="G63" s="3">
        <v>3.63</v>
      </c>
      <c r="H63" s="3">
        <f t="shared" si="5"/>
        <v>0.22744963831322185</v>
      </c>
      <c r="I63" s="3"/>
      <c r="J63" s="3">
        <f t="shared" si="6"/>
        <v>0.52734777279420098</v>
      </c>
    </row>
    <row r="64" spans="1:12" x14ac:dyDescent="0.2">
      <c r="A64" s="3"/>
      <c r="B64" s="3">
        <v>0.98599999999999999</v>
      </c>
      <c r="C64" s="3">
        <v>5.9596999999999998</v>
      </c>
      <c r="D64" s="3">
        <v>3</v>
      </c>
      <c r="E64" s="3">
        <f t="shared" si="4"/>
        <v>0.2007923241614398</v>
      </c>
      <c r="F64" s="3">
        <v>6.0087999999999999</v>
      </c>
      <c r="G64" s="3">
        <v>2.9</v>
      </c>
      <c r="H64" s="3">
        <f t="shared" si="5"/>
        <v>0.19648967709993279</v>
      </c>
      <c r="I64" s="3"/>
      <c r="J64" s="3">
        <f t="shared" si="6"/>
        <v>0.39172005324371334</v>
      </c>
    </row>
    <row r="65" spans="1:12" x14ac:dyDescent="0.2">
      <c r="A65" s="3"/>
      <c r="B65" s="3">
        <v>0.98599999999999999</v>
      </c>
      <c r="C65" s="3">
        <v>5.86592</v>
      </c>
      <c r="D65" s="3">
        <v>2.42</v>
      </c>
      <c r="E65" s="3">
        <f t="shared" si="4"/>
        <v>0.15819249297020685</v>
      </c>
      <c r="F65" s="3">
        <v>5.6680000000000001</v>
      </c>
      <c r="G65" s="3">
        <v>2.06</v>
      </c>
      <c r="H65" s="3">
        <f t="shared" si="5"/>
        <v>0.12797941968189699</v>
      </c>
      <c r="I65" s="3"/>
      <c r="J65" s="3">
        <f t="shared" si="6"/>
        <v>0.28216550587497441</v>
      </c>
    </row>
    <row r="66" spans="1:12" x14ac:dyDescent="0.2">
      <c r="A66" s="3"/>
      <c r="B66" s="3">
        <v>0.98599999999999999</v>
      </c>
      <c r="C66" s="3">
        <v>5.6929999999999996</v>
      </c>
      <c r="D66" s="3">
        <v>1.5</v>
      </c>
      <c r="E66" s="3">
        <f t="shared" si="4"/>
        <v>9.3797280060474011E-2</v>
      </c>
      <c r="F66" s="3">
        <v>5.8075000000000001</v>
      </c>
      <c r="G66" s="3">
        <v>1.27</v>
      </c>
      <c r="H66" s="3">
        <f t="shared" si="5"/>
        <v>8.1793100343733147E-2</v>
      </c>
      <c r="I66" s="3">
        <f>SUM(D61:D69,G61:G69)</f>
        <v>99.909000000000006</v>
      </c>
      <c r="J66" s="3">
        <f t="shared" si="6"/>
        <v>0.17313211507854825</v>
      </c>
    </row>
    <row r="67" spans="1:12" x14ac:dyDescent="0.2">
      <c r="A67" s="3"/>
      <c r="B67" s="3">
        <v>0.98599999999999999</v>
      </c>
      <c r="C67" s="3">
        <v>5.9160000000000004</v>
      </c>
      <c r="D67" s="3">
        <v>0.78</v>
      </c>
      <c r="E67" s="3">
        <f t="shared" si="4"/>
        <v>5.1636695604349449E-2</v>
      </c>
      <c r="F67" s="3">
        <v>5.7954999999999997</v>
      </c>
      <c r="G67" s="3">
        <v>0.311</v>
      </c>
      <c r="H67" s="3">
        <f t="shared" si="5"/>
        <v>1.9968260753687125E-2</v>
      </c>
      <c r="I67" s="3"/>
      <c r="J67" s="3">
        <f t="shared" si="6"/>
        <v>7.0602486969024061E-2</v>
      </c>
    </row>
    <row r="68" spans="1:12" x14ac:dyDescent="0.2">
      <c r="A68" s="3"/>
      <c r="B68" s="3">
        <v>0.98599999999999999</v>
      </c>
      <c r="C68" s="3">
        <v>5.7622999999999998</v>
      </c>
      <c r="D68" s="3">
        <v>0.22800000000000001</v>
      </c>
      <c r="E68" s="3">
        <f>($B$21*C68*C68*C68+$B$22*C68*C68+$B$23*C68+$B$24)*D68/100</f>
        <v>1.4514915697728508E-2</v>
      </c>
      <c r="F68" s="3">
        <v>5.9099000000000004</v>
      </c>
      <c r="G68" s="3">
        <v>0.17399999999999999</v>
      </c>
      <c r="H68" s="3">
        <f t="shared" si="5"/>
        <v>1.15012764600735E-2</v>
      </c>
      <c r="I68" s="3"/>
      <c r="J68" s="3">
        <f>(E68+H68)*B68</f>
        <v>2.5651965467592779E-2</v>
      </c>
    </row>
    <row r="69" spans="1:12" x14ac:dyDescent="0.2">
      <c r="A69" s="3"/>
      <c r="B69" s="3">
        <v>0.98599999999999999</v>
      </c>
      <c r="C69" s="3">
        <v>5.5858999999999996</v>
      </c>
      <c r="D69" s="3">
        <v>0.17599999999999999</v>
      </c>
      <c r="E69" s="3">
        <f>($B$21*C69*C69*C69+$B$22*C69*C69+$B$23*C69+$B$24)*D69/100</f>
        <v>1.0701188494327345E-2</v>
      </c>
      <c r="F69" s="3">
        <v>5.6006</v>
      </c>
      <c r="G69" s="3">
        <v>0.17</v>
      </c>
      <c r="H69" s="3">
        <f t="shared" si="5"/>
        <v>1.037650964704844E-2</v>
      </c>
      <c r="I69" s="3"/>
      <c r="J69" s="3">
        <f t="shared" si="6"/>
        <v>2.0782610367396523E-2</v>
      </c>
    </row>
    <row r="70" spans="1:12" x14ac:dyDescent="0.2">
      <c r="A70" s="3" t="s">
        <v>30</v>
      </c>
      <c r="B70" s="3">
        <v>1.4E-2</v>
      </c>
      <c r="C70" s="3">
        <v>4.9532600000000002</v>
      </c>
      <c r="D70" s="3">
        <v>47</v>
      </c>
      <c r="E70" s="3">
        <f t="shared" si="4"/>
        <v>2.39836461600957</v>
      </c>
      <c r="F70" s="3">
        <v>4.9047000000000001</v>
      </c>
      <c r="G70" s="3">
        <v>39</v>
      </c>
      <c r="H70" s="3">
        <f t="shared" si="5"/>
        <v>1.9621061698129372</v>
      </c>
      <c r="I70" s="3"/>
      <c r="J70" s="3">
        <f t="shared" si="6"/>
        <v>6.1046591001515098E-2</v>
      </c>
      <c r="L70" s="7">
        <f>(C70*D70+F70*G70+C71*D71+F71*G71+C72*D72+F72*G72)/I72</f>
        <v>4.9189375445897729</v>
      </c>
    </row>
    <row r="71" spans="1:12" x14ac:dyDescent="0.2">
      <c r="A71" s="3"/>
      <c r="B71" s="3">
        <v>1.4E-2</v>
      </c>
      <c r="C71" s="3">
        <v>4.8727</v>
      </c>
      <c r="D71" s="3">
        <v>6.21</v>
      </c>
      <c r="E71" s="3">
        <f t="shared" si="4"/>
        <v>0.30950230219681141</v>
      </c>
      <c r="F71" s="3">
        <v>4.8550000000000004</v>
      </c>
      <c r="G71" s="3">
        <v>5.93</v>
      </c>
      <c r="H71" s="3">
        <f t="shared" si="5"/>
        <v>0.29400717363190504</v>
      </c>
      <c r="I71" s="3"/>
      <c r="J71" s="3">
        <f t="shared" si="6"/>
        <v>8.4491326616020317E-3</v>
      </c>
    </row>
    <row r="72" spans="1:12" x14ac:dyDescent="0.2">
      <c r="A72" s="3"/>
      <c r="B72" s="3">
        <v>1.4E-2</v>
      </c>
      <c r="C72" s="3">
        <v>4.7960000000000003</v>
      </c>
      <c r="D72" s="3">
        <v>1</v>
      </c>
      <c r="E72" s="3">
        <f t="shared" si="4"/>
        <v>4.8718271619968008E-2</v>
      </c>
      <c r="F72" s="3">
        <v>4.7679999999999998</v>
      </c>
      <c r="G72" s="3">
        <v>1.78</v>
      </c>
      <c r="H72" s="3">
        <f t="shared" si="5"/>
        <v>8.5995087770388473E-2</v>
      </c>
      <c r="I72" s="3">
        <f>SUM(D70:D72,G70:G72)</f>
        <v>100.92000000000002</v>
      </c>
      <c r="J72" s="3">
        <f t="shared" si="6"/>
        <v>1.8859870314649908E-3</v>
      </c>
    </row>
    <row r="73" spans="1:12" x14ac:dyDescent="0.2">
      <c r="A73" s="3" t="s">
        <v>31</v>
      </c>
      <c r="B73" s="3">
        <v>1</v>
      </c>
      <c r="C73" s="3">
        <v>5.7161999999999997</v>
      </c>
      <c r="D73" s="3">
        <v>51.6</v>
      </c>
      <c r="E73" s="3">
        <f t="shared" si="4"/>
        <v>3.2461018389606089</v>
      </c>
      <c r="F73" s="3">
        <v>5.6067</v>
      </c>
      <c r="G73" s="3">
        <v>25.2</v>
      </c>
      <c r="H73" s="3">
        <f t="shared" si="5"/>
        <v>1.5406367282277764</v>
      </c>
      <c r="I73" s="3"/>
      <c r="J73" s="3">
        <f t="shared" si="6"/>
        <v>4.7867385671883849</v>
      </c>
      <c r="L73" s="7">
        <f>(C73*D73+F73*G73+C74*D74+F74*G74+C75*D75+F75*G75+C76*D76+F76*G76+C77*D77+F77*G77+C78*D78+F78*G78)/I75</f>
        <v>5.6669967565834964</v>
      </c>
    </row>
    <row r="74" spans="1:12" x14ac:dyDescent="0.2">
      <c r="A74" s="3"/>
      <c r="B74" s="3">
        <v>1</v>
      </c>
      <c r="C74" s="3">
        <v>5.7469999999999999</v>
      </c>
      <c r="D74" s="3">
        <v>9</v>
      </c>
      <c r="E74" s="3">
        <f t="shared" si="4"/>
        <v>0.57070416274491609</v>
      </c>
      <c r="F74" s="3">
        <v>5.5397999999999996</v>
      </c>
      <c r="G74" s="3">
        <v>9</v>
      </c>
      <c r="H74" s="3">
        <f t="shared" si="5"/>
        <v>0.54058016542592247</v>
      </c>
      <c r="I74" s="3"/>
      <c r="J74" s="3">
        <f t="shared" si="6"/>
        <v>1.1112843281708384</v>
      </c>
    </row>
    <row r="75" spans="1:12" x14ac:dyDescent="0.2">
      <c r="A75" s="3"/>
      <c r="B75" s="3">
        <v>1</v>
      </c>
      <c r="C75" s="3">
        <v>5.4336000000000002</v>
      </c>
      <c r="D75" s="3">
        <v>2.2200000000000002</v>
      </c>
      <c r="E75" s="3">
        <f t="shared" si="4"/>
        <v>0.12960390712461092</v>
      </c>
      <c r="F75" s="3">
        <v>5.8712999999999997</v>
      </c>
      <c r="G75" s="3">
        <v>1</v>
      </c>
      <c r="H75" s="3">
        <f t="shared" si="5"/>
        <v>6.5457965966832829E-2</v>
      </c>
      <c r="I75" s="3">
        <f>SUM(D73:D78,G73:G78)</f>
        <v>99.832999999999998</v>
      </c>
      <c r="J75" s="3">
        <f t="shared" si="6"/>
        <v>0.19506187309144374</v>
      </c>
      <c r="L75" s="7"/>
    </row>
    <row r="76" spans="1:12" x14ac:dyDescent="0.2">
      <c r="A76" s="3"/>
      <c r="B76" s="3">
        <v>1</v>
      </c>
      <c r="C76" s="3">
        <v>5.5015999999999998</v>
      </c>
      <c r="D76" s="3">
        <v>1</v>
      </c>
      <c r="E76" s="3">
        <f t="shared" si="4"/>
        <v>5.9456168408910853E-2</v>
      </c>
      <c r="F76" s="3">
        <v>5.8574999999999999</v>
      </c>
      <c r="G76" s="3">
        <v>0.31</v>
      </c>
      <c r="H76" s="3">
        <f t="shared" si="5"/>
        <v>2.0221100016655627E-2</v>
      </c>
      <c r="I76" s="3"/>
      <c r="J76" s="3">
        <f t="shared" si="6"/>
        <v>7.967726842556648E-2</v>
      </c>
    </row>
    <row r="77" spans="1:12" x14ac:dyDescent="0.2">
      <c r="A77" s="3"/>
      <c r="B77" s="3">
        <v>1</v>
      </c>
      <c r="C77" s="3">
        <v>5.2873000000000001</v>
      </c>
      <c r="D77" s="3">
        <v>0.15</v>
      </c>
      <c r="E77" s="3">
        <f t="shared" si="4"/>
        <v>8.4142047041637896E-3</v>
      </c>
      <c r="F77" s="3">
        <v>5.3655999999999997</v>
      </c>
      <c r="G77" s="3">
        <v>0.13</v>
      </c>
      <c r="H77" s="3">
        <f t="shared" si="5"/>
        <v>7.4506682580651106E-3</v>
      </c>
      <c r="I77" s="3"/>
      <c r="J77" s="3">
        <f t="shared" si="6"/>
        <v>1.5864872962228899E-2</v>
      </c>
    </row>
    <row r="78" spans="1:12" x14ac:dyDescent="0.2">
      <c r="A78" s="3"/>
      <c r="B78" s="3">
        <v>1</v>
      </c>
      <c r="C78" s="3">
        <v>5.3387000000000002</v>
      </c>
      <c r="D78" s="3">
        <v>0.13</v>
      </c>
      <c r="E78" s="3">
        <f t="shared" si="4"/>
        <v>7.3960942257969998E-3</v>
      </c>
      <c r="F78" s="3">
        <v>5.2834000000000003</v>
      </c>
      <c r="G78" s="3">
        <v>9.2999999999999999E-2</v>
      </c>
      <c r="H78" s="3">
        <f t="shared" si="5"/>
        <v>5.2111925490941711E-3</v>
      </c>
      <c r="I78" s="3"/>
      <c r="J78" s="3">
        <f t="shared" si="6"/>
        <v>1.2607286774891171E-2</v>
      </c>
    </row>
    <row r="79" spans="1:12" x14ac:dyDescent="0.2">
      <c r="A79" s="3" t="s">
        <v>32</v>
      </c>
      <c r="B79" s="3">
        <v>1</v>
      </c>
      <c r="C79" s="3">
        <v>6.8190999999999997</v>
      </c>
      <c r="D79" s="3">
        <v>79.400000000000006</v>
      </c>
      <c r="E79" s="3">
        <f t="shared" si="4"/>
        <v>6.5103612074517105</v>
      </c>
      <c r="F79" s="3">
        <v>6.5526</v>
      </c>
      <c r="G79" s="3">
        <v>12.9</v>
      </c>
      <c r="H79" s="3">
        <f t="shared" si="5"/>
        <v>0.99562074575133208</v>
      </c>
      <c r="I79" s="3"/>
      <c r="J79" s="3">
        <f t="shared" si="6"/>
        <v>7.505981953203043</v>
      </c>
      <c r="L79" s="7">
        <f>(C79*D79+F79:F80*G79:G80+C80*D80+F80*G80)/I80</f>
        <v>6.7628875751502999</v>
      </c>
    </row>
    <row r="80" spans="1:12" x14ac:dyDescent="0.2">
      <c r="A80" s="3"/>
      <c r="B80" s="3">
        <v>1</v>
      </c>
      <c r="C80" s="3">
        <v>6.4249999999999998</v>
      </c>
      <c r="D80" s="3">
        <v>7.5</v>
      </c>
      <c r="E80" s="3">
        <f t="shared" si="4"/>
        <v>0.56190015515625003</v>
      </c>
      <c r="F80" s="3">
        <v>6.53</v>
      </c>
      <c r="G80" s="3">
        <v>0.12</v>
      </c>
      <c r="H80" s="3"/>
      <c r="I80" s="3">
        <f>SUM(D79:D80,G79)</f>
        <v>99.800000000000011</v>
      </c>
      <c r="J80" s="3">
        <f t="shared" si="6"/>
        <v>0.56190015515625003</v>
      </c>
    </row>
    <row r="81" spans="1:12" x14ac:dyDescent="0.2">
      <c r="A81" s="3" t="s">
        <v>33</v>
      </c>
      <c r="B81" s="3">
        <v>1</v>
      </c>
      <c r="C81" s="3">
        <v>7.3860999999999999</v>
      </c>
      <c r="D81" s="3">
        <v>100</v>
      </c>
      <c r="E81" s="3">
        <f t="shared" si="4"/>
        <v>9.2658421951273429</v>
      </c>
      <c r="F81" s="3"/>
      <c r="G81" s="3"/>
      <c r="H81" s="3"/>
      <c r="I81" s="3">
        <f>D81+G81</f>
        <v>100</v>
      </c>
      <c r="J81" s="3">
        <f t="shared" si="6"/>
        <v>9.2658421951273429</v>
      </c>
      <c r="L81" s="7">
        <f>(C81*D81)/I81</f>
        <v>7.3860999999999999</v>
      </c>
    </row>
    <row r="82" spans="1:12" x14ac:dyDescent="0.2">
      <c r="A82" s="3" t="s">
        <v>34</v>
      </c>
      <c r="B82" s="3">
        <v>1</v>
      </c>
      <c r="C82" s="3">
        <v>6.6228999999999996</v>
      </c>
      <c r="D82" s="3">
        <v>83.54</v>
      </c>
      <c r="E82" s="3">
        <f t="shared" si="4"/>
        <v>6.5526718505926249</v>
      </c>
      <c r="F82" s="3">
        <v>6.2782</v>
      </c>
      <c r="G82" s="3">
        <v>16.190000000000001</v>
      </c>
      <c r="H82" s="3">
        <f t="shared" si="5"/>
        <v>1.1714544359817605</v>
      </c>
      <c r="I82" s="3">
        <f>D82+G82</f>
        <v>99.73</v>
      </c>
      <c r="J82" s="3">
        <f t="shared" si="6"/>
        <v>7.7241262865743856</v>
      </c>
      <c r="L82" s="7">
        <f>(C82*D82+F82*G82)/I82</f>
        <v>6.5669419833550577</v>
      </c>
    </row>
    <row r="83" spans="1:12" x14ac:dyDescent="0.2">
      <c r="H83" s="17" t="s">
        <v>51</v>
      </c>
      <c r="I83" s="5">
        <f>AVERAGE(I44:I82)</f>
        <v>99.747624999999999</v>
      </c>
    </row>
    <row r="84" spans="1:12" x14ac:dyDescent="0.2">
      <c r="H84" s="25" t="s">
        <v>52</v>
      </c>
      <c r="J84">
        <f>SUM(J44:J82)</f>
        <v>47.128194360946367</v>
      </c>
    </row>
    <row r="86" spans="1:12" x14ac:dyDescent="0.2">
      <c r="A86" s="16" t="s">
        <v>58</v>
      </c>
    </row>
    <row r="87" spans="1:12" x14ac:dyDescent="0.2">
      <c r="B87" s="17" t="s">
        <v>55</v>
      </c>
      <c r="C87" s="5" t="s">
        <v>2</v>
      </c>
      <c r="D87" s="3" t="s">
        <v>19</v>
      </c>
      <c r="E87" s="5" t="s">
        <v>54</v>
      </c>
      <c r="F87" s="5" t="s">
        <v>2</v>
      </c>
      <c r="G87" s="3" t="s">
        <v>19</v>
      </c>
      <c r="H87" s="5" t="s">
        <v>53</v>
      </c>
      <c r="I87" s="5" t="s">
        <v>20</v>
      </c>
      <c r="J87" s="17" t="s">
        <v>59</v>
      </c>
      <c r="L87" s="20" t="s">
        <v>60</v>
      </c>
    </row>
    <row r="88" spans="1:12" x14ac:dyDescent="0.2">
      <c r="A88" s="3" t="s">
        <v>9</v>
      </c>
      <c r="B88" s="3">
        <v>1</v>
      </c>
      <c r="C88" s="3">
        <v>4.0122999999999998</v>
      </c>
      <c r="D88" s="3">
        <v>78.2</v>
      </c>
      <c r="E88" s="3">
        <f>($B$21*C88*C88*C88+$B$22*C88*C88+$B$23*C88+$B$24)*D88/100</f>
        <v>2.9654078746373722</v>
      </c>
      <c r="F88" s="3">
        <v>3.9472</v>
      </c>
      <c r="G88" s="3">
        <v>21.7</v>
      </c>
      <c r="H88" s="3">
        <f>($B$21*F88*F88*F88+$B$22*F88*F88+$B$23*F88+$B$24)*G88/100</f>
        <v>0.8046008214177065</v>
      </c>
      <c r="I88" s="3"/>
      <c r="J88" s="3">
        <f>(E88+H88)*B88</f>
        <v>3.7700086960550787</v>
      </c>
      <c r="K88">
        <f>B88</f>
        <v>1</v>
      </c>
      <c r="L88" s="7">
        <f>(C88*D88+F88*G88+C89*D89)/I89</f>
        <v>3.9980300483149773</v>
      </c>
    </row>
    <row r="89" spans="1:12" x14ac:dyDescent="0.2">
      <c r="A89" s="3"/>
      <c r="B89" s="3">
        <v>1</v>
      </c>
      <c r="C89" s="3">
        <v>3.8111000000000002</v>
      </c>
      <c r="D89" s="3">
        <v>6.9000000000000006E-2</v>
      </c>
      <c r="E89" s="3">
        <f>($B$21*C89*C89*C89+$B$22*C89*C89+$B$23*C89+$B$24)*D89/100</f>
        <v>2.4387687598648798E-3</v>
      </c>
      <c r="F89" s="3"/>
      <c r="G89" s="3"/>
      <c r="H89" s="3">
        <f t="shared" ref="H89:H98" si="7">($B$21*F89*F89*F89+$B$22*F89*F89+$B$23*F89+$B$24)*G89/100</f>
        <v>0</v>
      </c>
      <c r="I89" s="3">
        <f>SUM(D88:D89,G88)</f>
        <v>99.969000000000008</v>
      </c>
      <c r="J89" s="3">
        <f t="shared" ref="J89:J98" si="8">(E89+H89)*B89</f>
        <v>2.4387687598648798E-3</v>
      </c>
    </row>
    <row r="90" spans="1:12" x14ac:dyDescent="0.2">
      <c r="A90" s="3" t="s">
        <v>35</v>
      </c>
      <c r="B90" s="3">
        <v>1</v>
      </c>
      <c r="C90" s="3">
        <v>5.4231499999999997</v>
      </c>
      <c r="D90" s="3">
        <v>72.2</v>
      </c>
      <c r="E90" s="3">
        <f t="shared" ref="E90:E98" si="9">($B$21*C90*C90*C90+$B$22*C90*C90+$B$23*C90+$B$24)*D90/100</f>
        <v>4.2031627583389275</v>
      </c>
      <c r="F90" s="3">
        <v>5.3403600000000004</v>
      </c>
      <c r="G90" s="3">
        <v>27.2</v>
      </c>
      <c r="H90" s="3">
        <f t="shared" si="7"/>
        <v>1.5481940457204806</v>
      </c>
      <c r="I90" s="3"/>
      <c r="J90" s="3">
        <f t="shared" si="8"/>
        <v>5.7513568040594079</v>
      </c>
      <c r="K90">
        <f t="shared" ref="K90:K98" si="10">B90</f>
        <v>1</v>
      </c>
      <c r="L90" s="7">
        <f>(C90*D90+F90:F91*G90:G91+C91*D91)/I91</f>
        <v>5.387444011314682</v>
      </c>
    </row>
    <row r="91" spans="1:12" x14ac:dyDescent="0.2">
      <c r="A91" s="3"/>
      <c r="B91" s="3">
        <v>1</v>
      </c>
      <c r="C91" s="3">
        <v>5.2104499999999998</v>
      </c>
      <c r="D91" s="3">
        <v>0.42</v>
      </c>
      <c r="E91" s="3">
        <f t="shared" si="9"/>
        <v>2.3062381543843113E-2</v>
      </c>
      <c r="F91" s="3">
        <v>5.1762699999999997</v>
      </c>
      <c r="G91" s="3">
        <v>0.22700000000000001</v>
      </c>
      <c r="H91" s="3">
        <f t="shared" si="7"/>
        <v>1.2345922530841127E-2</v>
      </c>
      <c r="I91" s="3">
        <f>SUM(D90:D91,G90:G91)</f>
        <v>100.04700000000001</v>
      </c>
      <c r="J91" s="3">
        <f t="shared" si="8"/>
        <v>3.540830407468424E-2</v>
      </c>
    </row>
    <row r="92" spans="1:12" x14ac:dyDescent="0.2">
      <c r="A92" s="3" t="s">
        <v>36</v>
      </c>
      <c r="B92" s="3">
        <v>1</v>
      </c>
      <c r="C92" s="3">
        <v>5.6853699999999998</v>
      </c>
      <c r="D92" s="3">
        <v>94.92</v>
      </c>
      <c r="E92" s="3">
        <f t="shared" si="9"/>
        <v>5.9237304067359515</v>
      </c>
      <c r="F92" s="3">
        <v>5.4485999999999999</v>
      </c>
      <c r="G92" s="3">
        <v>5.0599999999999996</v>
      </c>
      <c r="H92" s="3">
        <f t="shared" si="7"/>
        <v>0.29660074849243989</v>
      </c>
      <c r="I92" s="3">
        <f t="shared" ref="I92:I98" si="11">D92+G92</f>
        <v>99.98</v>
      </c>
      <c r="J92" s="3">
        <f t="shared" si="8"/>
        <v>6.2203311552283918</v>
      </c>
      <c r="K92">
        <f t="shared" si="10"/>
        <v>1</v>
      </c>
      <c r="L92" s="7">
        <f>(C92*D92+F92:F93*G92:G93)/I92</f>
        <v>5.6733870414082812</v>
      </c>
    </row>
    <row r="93" spans="1:12" x14ac:dyDescent="0.2">
      <c r="A93" s="3" t="s">
        <v>37</v>
      </c>
      <c r="B93" s="3">
        <v>1</v>
      </c>
      <c r="C93" s="3">
        <v>6.2880799999999999</v>
      </c>
      <c r="D93" s="3">
        <v>99.885999999999996</v>
      </c>
      <c r="E93" s="3">
        <f t="shared" si="9"/>
        <v>7.2445272448417493</v>
      </c>
      <c r="F93" s="3">
        <v>5.7477600000000004</v>
      </c>
      <c r="G93" s="3">
        <v>0.114</v>
      </c>
      <c r="H93" s="3">
        <f t="shared" si="7"/>
        <v>7.2303358172053425E-3</v>
      </c>
      <c r="I93" s="3">
        <f t="shared" si="11"/>
        <v>100</v>
      </c>
      <c r="J93" s="3">
        <f t="shared" si="8"/>
        <v>7.2517575806589543</v>
      </c>
      <c r="K93">
        <f t="shared" si="10"/>
        <v>1</v>
      </c>
      <c r="L93" s="7">
        <f>(C93*D93+F93:F94*G93:G94)/I93</f>
        <v>6.2874640351999993</v>
      </c>
    </row>
    <row r="94" spans="1:12" x14ac:dyDescent="0.2">
      <c r="A94" s="3" t="s">
        <v>38</v>
      </c>
      <c r="B94" s="3">
        <v>1</v>
      </c>
      <c r="C94" s="3">
        <v>6.7782999999999998</v>
      </c>
      <c r="D94" s="3">
        <v>99.998099999999994</v>
      </c>
      <c r="E94" s="3">
        <f t="shared" si="9"/>
        <v>8.1247577967145439</v>
      </c>
      <c r="F94" s="3">
        <v>5.9877700000000003</v>
      </c>
      <c r="G94" s="3">
        <v>1.9E-3</v>
      </c>
      <c r="H94" s="3">
        <f t="shared" si="7"/>
        <v>1.2806278571870225E-4</v>
      </c>
      <c r="I94" s="3">
        <f t="shared" si="11"/>
        <v>100</v>
      </c>
      <c r="J94" s="3">
        <f t="shared" si="8"/>
        <v>8.124885859500262</v>
      </c>
      <c r="K94">
        <f t="shared" si="10"/>
        <v>1</v>
      </c>
      <c r="L94" s="7">
        <f>(C94*D94+F94:F95*G94:G95)/I94</f>
        <v>6.7782849799299996</v>
      </c>
    </row>
    <row r="95" spans="1:12" x14ac:dyDescent="0.2">
      <c r="A95" s="3" t="s">
        <v>39</v>
      </c>
      <c r="B95" s="3">
        <v>0.35899999999999999</v>
      </c>
      <c r="C95" s="3">
        <v>6.33453</v>
      </c>
      <c r="D95" s="3">
        <v>35</v>
      </c>
      <c r="E95" s="3">
        <f t="shared" si="9"/>
        <v>2.5667472245756215</v>
      </c>
      <c r="F95" s="3">
        <v>6.0578000000000003</v>
      </c>
      <c r="G95" s="3">
        <v>25.13</v>
      </c>
      <c r="H95" s="3">
        <f t="shared" si="7"/>
        <v>1.7234682704569892</v>
      </c>
      <c r="I95" s="3"/>
      <c r="J95" s="3">
        <f>(E95+H95)*B95</f>
        <v>1.5401873627167071</v>
      </c>
    </row>
    <row r="96" spans="1:12" x14ac:dyDescent="0.2">
      <c r="A96" s="3"/>
      <c r="B96" s="3">
        <v>0.35899999999999999</v>
      </c>
      <c r="C96" s="3">
        <v>6.2954299999999996</v>
      </c>
      <c r="D96" s="3">
        <v>26</v>
      </c>
      <c r="E96" s="3">
        <f t="shared" si="9"/>
        <v>1.889042877881929</v>
      </c>
      <c r="F96" s="3">
        <v>6.08988</v>
      </c>
      <c r="G96" s="3">
        <v>9.75</v>
      </c>
      <c r="H96" s="3">
        <f t="shared" si="7"/>
        <v>0.67397810632850663</v>
      </c>
      <c r="J96" s="3">
        <f t="shared" si="8"/>
        <v>0.92012453333154642</v>
      </c>
    </row>
    <row r="97" spans="1:12" x14ac:dyDescent="0.2">
      <c r="A97" s="3"/>
      <c r="B97" s="3">
        <v>0.35899999999999999</v>
      </c>
      <c r="C97" s="3">
        <v>6.0127199999999998</v>
      </c>
      <c r="D97" s="3">
        <v>4.12</v>
      </c>
      <c r="E97" s="3">
        <f t="shared" si="9"/>
        <v>0.27942277360753232</v>
      </c>
      <c r="F97" s="3"/>
      <c r="G97" s="3"/>
      <c r="H97" s="3">
        <f t="shared" si="7"/>
        <v>0</v>
      </c>
      <c r="I97" s="3">
        <f>SUM(D95:D97,G95:G97)</f>
        <v>100</v>
      </c>
      <c r="J97" s="3">
        <f t="shared" si="8"/>
        <v>0.10031277572510409</v>
      </c>
      <c r="K97">
        <f t="shared" si="10"/>
        <v>0.35899999999999999</v>
      </c>
      <c r="L97" s="7">
        <f>(C95*D95+F95*G95+C96*D96+C97*D97+F96*G96)/I97</f>
        <v>6.2177098040000001</v>
      </c>
    </row>
    <row r="98" spans="1:12" x14ac:dyDescent="0.2">
      <c r="A98" s="3" t="s">
        <v>40</v>
      </c>
      <c r="B98" s="3">
        <v>0.64100000000000001</v>
      </c>
      <c r="C98" s="3">
        <v>8.7848600000000001</v>
      </c>
      <c r="D98" s="3">
        <v>100</v>
      </c>
      <c r="E98" s="3">
        <f t="shared" si="9"/>
        <v>12.133909260759971</v>
      </c>
      <c r="F98" s="3"/>
      <c r="G98" s="3"/>
      <c r="H98" s="3">
        <f t="shared" si="7"/>
        <v>0</v>
      </c>
      <c r="I98" s="3">
        <f t="shared" si="11"/>
        <v>100</v>
      </c>
      <c r="J98" s="3">
        <f t="shared" si="8"/>
        <v>7.7778358361471414</v>
      </c>
      <c r="K98">
        <f t="shared" si="10"/>
        <v>0.64100000000000001</v>
      </c>
      <c r="L98" s="7">
        <f>(C98*D98)/I98</f>
        <v>8.7848600000000001</v>
      </c>
    </row>
    <row r="99" spans="1:12" x14ac:dyDescent="0.2">
      <c r="H99" s="17" t="s">
        <v>51</v>
      </c>
      <c r="I99" s="17">
        <f>AVERAGE(I88:I98)</f>
        <v>99.999428571428581</v>
      </c>
    </row>
    <row r="100" spans="1:12" x14ac:dyDescent="0.2">
      <c r="H100" s="25" t="s">
        <v>52</v>
      </c>
      <c r="J100">
        <f>SUM(J88:J98)</f>
        <v>41.494647676257138</v>
      </c>
    </row>
  </sheetData>
  <pageMargins left="0.78740157499999996" right="0.78740157499999996" top="0.984251969" bottom="0.984251969" header="0.4921259845" footer="0.4921259845"/>
  <pageSetup paperSize="9" orientation="landscape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Range-Flux alpha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NM</dc:creator>
  <cp:lastModifiedBy>Zhang, Junjie</cp:lastModifiedBy>
  <dcterms:created xsi:type="dcterms:W3CDTF">2023-03-28T07:59:43Z</dcterms:created>
  <dcterms:modified xsi:type="dcterms:W3CDTF">2025-07-02T07:50:07Z</dcterms:modified>
</cp:coreProperties>
</file>