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kjy\DS\戴师兄-数据分析自学课-课程资料\课程2.0【优先学习这个新版】\1.Excel\"/>
    </mc:Choice>
  </mc:AlternateContent>
  <xr:revisionPtr revIDLastSave="0" documentId="13_ncr:1_{0C2C4B3B-D110-40AB-836D-705C9DA7D702}" xr6:coauthVersionLast="47" xr6:coauthVersionMax="47" xr10:uidLastSave="{00000000-0000-0000-0000-000000000000}"/>
  <bookViews>
    <workbookView xWindow="-110" yWindow="-110" windowWidth="19420" windowHeight="10420" tabRatio="705" activeTab="1" xr2:uid="{98324707-8CC9-458D-9071-23CC9B5CD553}"/>
  </bookViews>
  <sheets>
    <sheet name="拌客源数据1-8月" sheetId="2" r:id="rId1"/>
    <sheet name="常用函数-练习版" sheetId="18" r:id="rId2"/>
    <sheet name="大厂周报-练习版" sheetId="16" r:id="rId3"/>
    <sheet name="源数据备份" sheetId="29" state="hidden" r:id="rId4"/>
  </sheets>
  <definedNames>
    <definedName name="_xlnm._FilterDatabase" localSheetId="0" hidden="1">'拌客源数据1-8月'!$A$1:$X$562</definedName>
    <definedName name="_xlnm._FilterDatabase" localSheetId="3" hidden="1">源数据备份!$A$1:$X$562</definedName>
  </definedNames>
  <calcPr calcId="191029"/>
  <pivotCaches>
    <pivotCache cacheId="0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6" l="1"/>
  <c r="K28" i="16"/>
  <c r="F16" i="16"/>
  <c r="G28" i="16"/>
  <c r="I28" i="16"/>
  <c r="F28" i="16"/>
  <c r="I16" i="16"/>
  <c r="J16" i="16"/>
  <c r="G16" i="16"/>
  <c r="D17" i="16"/>
  <c r="E29" i="16" s="1"/>
  <c r="D28" i="16"/>
  <c r="E16" i="16"/>
  <c r="E4" i="16"/>
  <c r="E28" i="16"/>
  <c r="H112" i="18"/>
  <c r="I112" i="18"/>
  <c r="H113" i="18"/>
  <c r="I113" i="18"/>
  <c r="H114" i="18"/>
  <c r="I114" i="18"/>
  <c r="H115" i="18"/>
  <c r="I115" i="18"/>
  <c r="H116" i="18"/>
  <c r="I116" i="18"/>
  <c r="H117" i="18"/>
  <c r="I117" i="18"/>
  <c r="H118" i="18"/>
  <c r="I118" i="18"/>
  <c r="H119" i="18"/>
  <c r="I119" i="18"/>
  <c r="H120" i="18"/>
  <c r="I120" i="18"/>
  <c r="H121" i="18"/>
  <c r="I121" i="18"/>
  <c r="H122" i="18"/>
  <c r="I122" i="18"/>
  <c r="H123" i="18"/>
  <c r="I123" i="18"/>
  <c r="H124" i="18"/>
  <c r="I124" i="18"/>
  <c r="H125" i="18"/>
  <c r="I125" i="18"/>
  <c r="H126" i="18"/>
  <c r="I126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12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D113" i="18"/>
  <c r="E113" i="18"/>
  <c r="D114" i="18"/>
  <c r="E114" i="18"/>
  <c r="D115" i="18"/>
  <c r="E115" i="18"/>
  <c r="D116" i="18"/>
  <c r="E116" i="18"/>
  <c r="D117" i="18"/>
  <c r="E117" i="18"/>
  <c r="D118" i="18"/>
  <c r="E118" i="18"/>
  <c r="D119" i="18"/>
  <c r="E119" i="18"/>
  <c r="D120" i="18"/>
  <c r="E120" i="18"/>
  <c r="D121" i="18"/>
  <c r="E121" i="18"/>
  <c r="D122" i="18"/>
  <c r="E122" i="18"/>
  <c r="D123" i="18"/>
  <c r="E123" i="18"/>
  <c r="D124" i="18"/>
  <c r="E124" i="18"/>
  <c r="D125" i="18"/>
  <c r="E125" i="18"/>
  <c r="D126" i="18"/>
  <c r="E126" i="18"/>
  <c r="E112" i="18"/>
  <c r="D112" i="18"/>
  <c r="H71" i="18"/>
  <c r="H72" i="18"/>
  <c r="H73" i="18"/>
  <c r="H74" i="18"/>
  <c r="H75" i="18"/>
  <c r="H76" i="18"/>
  <c r="H77" i="18"/>
  <c r="H70" i="18"/>
  <c r="I100" i="18"/>
  <c r="I97" i="18"/>
  <c r="C97" i="18"/>
  <c r="C98" i="18"/>
  <c r="C99" i="18"/>
  <c r="C100" i="18"/>
  <c r="C101" i="18"/>
  <c r="C102" i="18"/>
  <c r="C103" i="18"/>
  <c r="C96" i="18"/>
  <c r="E81" i="18"/>
  <c r="E82" i="18"/>
  <c r="E83" i="18"/>
  <c r="E84" i="18"/>
  <c r="E85" i="18"/>
  <c r="E86" i="18"/>
  <c r="E87" i="18"/>
  <c r="E80" i="18"/>
  <c r="D65" i="18"/>
  <c r="D66" i="18"/>
  <c r="D67" i="18"/>
  <c r="D68" i="18"/>
  <c r="D69" i="18"/>
  <c r="D70" i="18"/>
  <c r="D71" i="18"/>
  <c r="D64" i="18"/>
  <c r="D55" i="18"/>
  <c r="C55" i="18"/>
  <c r="C39" i="18"/>
  <c r="D39" i="18" s="1"/>
  <c r="C40" i="18"/>
  <c r="D40" i="18" s="1"/>
  <c r="C41" i="18"/>
  <c r="D41" i="18" s="1"/>
  <c r="C42" i="18"/>
  <c r="D42" i="18" s="1"/>
  <c r="C43" i="18"/>
  <c r="D43" i="18" s="1"/>
  <c r="C44" i="18"/>
  <c r="D44" i="18" s="1"/>
  <c r="C45" i="18"/>
  <c r="D45" i="18" s="1"/>
  <c r="C46" i="18"/>
  <c r="D46" i="18" s="1"/>
  <c r="G40" i="18"/>
  <c r="G41" i="18"/>
  <c r="G42" i="18"/>
  <c r="G43" i="18"/>
  <c r="G44" i="18"/>
  <c r="G45" i="18"/>
  <c r="G46" i="18"/>
  <c r="G39" i="18"/>
  <c r="E39" i="18"/>
  <c r="E40" i="18"/>
  <c r="E41" i="18"/>
  <c r="E42" i="18"/>
  <c r="E43" i="18"/>
  <c r="E44" i="18"/>
  <c r="E45" i="18"/>
  <c r="E46" i="18"/>
  <c r="C36" i="18"/>
  <c r="D36" i="18" s="1"/>
  <c r="J32" i="18"/>
  <c r="J33" i="18"/>
  <c r="J34" i="18"/>
  <c r="J35" i="18"/>
  <c r="J36" i="18"/>
  <c r="J31" i="18"/>
  <c r="J30" i="18"/>
  <c r="H31" i="18"/>
  <c r="H32" i="18"/>
  <c r="H33" i="18"/>
  <c r="H34" i="18"/>
  <c r="H35" i="18"/>
  <c r="H36" i="18"/>
  <c r="H30" i="18"/>
  <c r="G31" i="18"/>
  <c r="G32" i="18"/>
  <c r="G33" i="18"/>
  <c r="G34" i="18"/>
  <c r="G35" i="18"/>
  <c r="G36" i="18"/>
  <c r="G30" i="18"/>
  <c r="F31" i="18"/>
  <c r="F32" i="18"/>
  <c r="F33" i="18"/>
  <c r="F34" i="18"/>
  <c r="F35" i="18"/>
  <c r="F36" i="18"/>
  <c r="F30" i="18"/>
  <c r="C30" i="18"/>
  <c r="C31" i="18"/>
  <c r="D31" i="18" s="1"/>
  <c r="C32" i="18"/>
  <c r="C33" i="18"/>
  <c r="C34" i="18"/>
  <c r="C35" i="18"/>
  <c r="D35" i="18" s="1"/>
  <c r="C16" i="18"/>
  <c r="C15" i="18"/>
  <c r="C21" i="18"/>
  <c r="C20" i="18"/>
  <c r="C19" i="18"/>
  <c r="C18" i="18"/>
  <c r="C17" i="18"/>
  <c r="D5" i="18"/>
  <c r="C5" i="18"/>
  <c r="F17" i="16" l="1"/>
  <c r="G17" i="16"/>
  <c r="H17" i="16" s="1"/>
  <c r="J28" i="16"/>
  <c r="K29" i="16"/>
  <c r="J17" i="16"/>
  <c r="I29" i="16"/>
  <c r="I17" i="16"/>
  <c r="K17" i="16" s="1"/>
  <c r="F29" i="16"/>
  <c r="G29" i="16"/>
  <c r="J29" i="16" s="1"/>
  <c r="H28" i="16"/>
  <c r="K16" i="16"/>
  <c r="H16" i="16"/>
  <c r="D29" i="16"/>
  <c r="E17" i="16"/>
  <c r="D18" i="16"/>
  <c r="E33" i="18"/>
  <c r="E34" i="18"/>
  <c r="E32" i="18"/>
  <c r="I35" i="18"/>
  <c r="I31" i="18"/>
  <c r="I34" i="18"/>
  <c r="D34" i="18"/>
  <c r="D32" i="18"/>
  <c r="I30" i="18"/>
  <c r="I33" i="18"/>
  <c r="I36" i="18"/>
  <c r="I32" i="18"/>
  <c r="E30" i="18"/>
  <c r="E35" i="18"/>
  <c r="E31" i="18"/>
  <c r="D33" i="18"/>
  <c r="D30" i="18"/>
  <c r="E36" i="18"/>
  <c r="H29" i="16" l="1"/>
  <c r="K30" i="16"/>
  <c r="J18" i="16"/>
  <c r="F18" i="16"/>
  <c r="F30" i="16"/>
  <c r="G18" i="16"/>
  <c r="I30" i="16"/>
  <c r="I18" i="16"/>
  <c r="G30" i="16"/>
  <c r="H30" i="16" s="1"/>
  <c r="E30" i="16"/>
  <c r="D30" i="16"/>
  <c r="D19" i="16"/>
  <c r="E18" i="16"/>
  <c r="K18" i="16" l="1"/>
  <c r="J30" i="16"/>
  <c r="H18" i="16"/>
  <c r="G31" i="16"/>
  <c r="K31" i="16"/>
  <c r="F19" i="16"/>
  <c r="I31" i="16"/>
  <c r="G19" i="16"/>
  <c r="H19" i="16" s="1"/>
  <c r="I19" i="16"/>
  <c r="J19" i="16"/>
  <c r="F31" i="16"/>
  <c r="E31" i="16"/>
  <c r="D31" i="16"/>
  <c r="D20" i="16"/>
  <c r="E19" i="16"/>
  <c r="J31" i="16" l="1"/>
  <c r="K19" i="16"/>
  <c r="G20" i="16"/>
  <c r="I20" i="16"/>
  <c r="J20" i="16"/>
  <c r="I32" i="16"/>
  <c r="F32" i="16"/>
  <c r="K32" i="16"/>
  <c r="G32" i="16"/>
  <c r="F20" i="16"/>
  <c r="H31" i="16"/>
  <c r="E32" i="16"/>
  <c r="D32" i="16"/>
  <c r="D21" i="16"/>
  <c r="E20" i="16"/>
  <c r="H32" i="16" l="1"/>
  <c r="G33" i="16"/>
  <c r="F33" i="16"/>
  <c r="I21" i="16"/>
  <c r="I33" i="16"/>
  <c r="J21" i="16"/>
  <c r="K33" i="16"/>
  <c r="G21" i="16"/>
  <c r="F21" i="16"/>
  <c r="H20" i="16"/>
  <c r="K20" i="16"/>
  <c r="J32" i="16"/>
  <c r="D33" i="16"/>
  <c r="E33" i="16"/>
  <c r="E21" i="16"/>
  <c r="D22" i="16"/>
  <c r="H21" i="16" l="1"/>
  <c r="E12" i="16"/>
  <c r="K34" i="16"/>
  <c r="J22" i="16"/>
  <c r="J23" i="16" s="1"/>
  <c r="F22" i="16"/>
  <c r="F23" i="16" s="1"/>
  <c r="D12" i="16"/>
  <c r="K35" i="16"/>
  <c r="F34" i="16"/>
  <c r="F35" i="16" s="1"/>
  <c r="D9" i="16" s="1"/>
  <c r="I12" i="16"/>
  <c r="F12" i="16"/>
  <c r="G22" i="16"/>
  <c r="H12" i="16"/>
  <c r="G12" i="16"/>
  <c r="I34" i="16"/>
  <c r="J34" i="16" s="1"/>
  <c r="I22" i="16"/>
  <c r="I23" i="16" s="1"/>
  <c r="G34" i="16"/>
  <c r="H34" i="16" s="1"/>
  <c r="J10" i="16"/>
  <c r="H33" i="16"/>
  <c r="K21" i="16"/>
  <c r="J33" i="16"/>
  <c r="E34" i="16"/>
  <c r="D34" i="16"/>
  <c r="G4" i="16"/>
  <c r="E22" i="16"/>
  <c r="K23" i="16" l="1"/>
  <c r="I35" i="16"/>
  <c r="G35" i="16"/>
  <c r="H35" i="16" s="1"/>
  <c r="F9" i="16" s="1"/>
  <c r="H22" i="16"/>
  <c r="G23" i="16"/>
  <c r="H23" i="16" s="1"/>
  <c r="K22" i="16"/>
  <c r="J35" i="16" l="1"/>
  <c r="H9" i="16" s="1"/>
</calcChain>
</file>

<file path=xl/sharedStrings.xml><?xml version="1.0" encoding="utf-8"?>
<sst xmlns="http://schemas.openxmlformats.org/spreadsheetml/2006/main" count="8091" uniqueCount="155">
  <si>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</si>
  <si>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</si>
  <si>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</si>
  <si>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</si>
  <si>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</si>
  <si>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</si>
  <si>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</si>
  <si>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</si>
  <si>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</si>
  <si>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</si>
  <si>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</si>
  <si>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</si>
  <si>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</si>
  <si>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</si>
  <si>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</si>
  <si>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</si>
  <si>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</si>
  <si>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</si>
  <si>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</si>
  <si>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</si>
  <si>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</si>
  <si>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</si>
  <si>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</si>
  <si>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</si>
  <si>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</si>
  <si>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</si>
  <si>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</si>
  <si>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</si>
  <si>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</si>
  <si>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</si>
  <si>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</si>
  <si>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</si>
  <si>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</si>
  <si>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</si>
  <si>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</si>
  <si>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</si>
  <si>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</si>
  <si>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</si>
  <si>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</si>
  <si>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</si>
  <si>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</si>
  <si>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</si>
  <si>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</si>
  <si>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</si>
  <si>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</si>
  <si>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</si>
  <si>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</si>
  <si>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</si>
  <si>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</si>
  <si>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</si>
  <si>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</si>
  <si>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</si>
  <si>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</si>
  <si>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</si>
  <si>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</si>
  <si>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</si>
  <si>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</si>
  <si>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</si>
  <si>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</si>
  <si>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</si>
  <si>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</si>
  <si>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</si>
  <si>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</si>
  <si>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</si>
  <si>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</si>
  <si>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</si>
  <si>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</si>
  <si>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</si>
  <si>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</si>
  <si>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</si>
  <si>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</si>
  <si>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</si>
  <si>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</si>
  <si>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</si>
  <si>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</si>
  <si>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</si>
  <si>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</si>
  <si>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</si>
  <si>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一、sum - 求和</t>
    <phoneticPr fontId="18" type="noConversion"/>
  </si>
  <si>
    <t>二、sumif -单条件求和</t>
    <phoneticPr fontId="18" type="noConversion"/>
  </si>
  <si>
    <t>三、sumifs - 多条件求和</t>
    <phoneticPr fontId="18" type="noConversion"/>
  </si>
  <si>
    <t>四、sum和subtotal的区别</t>
    <phoneticPr fontId="18" type="noConversion"/>
  </si>
  <si>
    <t>五、if函数</t>
    <phoneticPr fontId="18" type="noConversion"/>
  </si>
  <si>
    <t>1-8月GMV</t>
    <phoneticPr fontId="18" type="noConversion"/>
  </si>
  <si>
    <t>1月和8月GMV</t>
    <phoneticPr fontId="18" type="noConversion"/>
  </si>
  <si>
    <t>日同比</t>
    <phoneticPr fontId="18" type="noConversion"/>
  </si>
  <si>
    <t>日环比</t>
    <phoneticPr fontId="18" type="noConversion"/>
  </si>
  <si>
    <t>月环比</t>
    <phoneticPr fontId="18" type="noConversion"/>
  </si>
  <si>
    <t>sum函数</t>
    <phoneticPr fontId="18" type="noConversion"/>
  </si>
  <si>
    <t>subtotal函数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</si>
  <si>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</si>
  <si>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</si>
  <si>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</si>
  <si>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</si>
  <si>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</si>
  <si>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</si>
  <si>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</si>
  <si>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</si>
  <si>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月份</t>
    <phoneticPr fontId="18" type="noConversion"/>
  </si>
  <si>
    <t>cpc总费用</t>
    <phoneticPr fontId="18" type="noConversion"/>
  </si>
  <si>
    <t>判断是否大于月目标10万</t>
    <phoneticPr fontId="18" type="noConversion"/>
  </si>
  <si>
    <t>六、if嵌套</t>
    <phoneticPr fontId="18" type="noConversion"/>
  </si>
  <si>
    <t>大于月目标10万且花费少于5千的为达标</t>
    <phoneticPr fontId="18" type="noConversion"/>
  </si>
  <si>
    <t>门店ID</t>
    <phoneticPr fontId="18" type="noConversion"/>
  </si>
  <si>
    <t>门店名称</t>
    <phoneticPr fontId="18" type="noConversion"/>
  </si>
  <si>
    <t>七、vlookup函数和数据透视表聚合</t>
    <phoneticPr fontId="18" type="noConversion"/>
  </si>
  <si>
    <t>A</t>
    <phoneticPr fontId="18" type="noConversion"/>
  </si>
  <si>
    <t>B</t>
    <phoneticPr fontId="18" type="noConversion"/>
  </si>
  <si>
    <t>类别一</t>
    <phoneticPr fontId="18" type="noConversion"/>
  </si>
  <si>
    <t>C</t>
    <phoneticPr fontId="18" type="noConversion"/>
  </si>
  <si>
    <t>D</t>
    <phoneticPr fontId="18" type="noConversion"/>
  </si>
  <si>
    <t>类别二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</si>
  <si>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</si>
  <si>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</si>
  <si>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</si>
  <si>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值</t>
    <phoneticPr fontId="18" type="noConversion"/>
  </si>
  <si>
    <t>聚合（分类汇总）举例</t>
    <phoneticPr fontId="18" type="noConversion"/>
  </si>
  <si>
    <t>bc</t>
    <phoneticPr fontId="18" type="noConversion"/>
  </si>
  <si>
    <t>bcc</t>
    <phoneticPr fontId="18" type="noConversion"/>
  </si>
  <si>
    <t>模糊查询</t>
    <phoneticPr fontId="18" type="noConversion"/>
  </si>
  <si>
    <t>全名</t>
    <phoneticPr fontId="18" type="noConversion"/>
  </si>
  <si>
    <t>查找项</t>
    <phoneticPr fontId="18" type="noConversion"/>
  </si>
  <si>
    <t>返回值</t>
    <phoneticPr fontId="18" type="noConversion"/>
  </si>
  <si>
    <t>abcd</t>
    <phoneticPr fontId="18" type="noConversion"/>
  </si>
  <si>
    <t>abc</t>
    <phoneticPr fontId="18" type="noConversion"/>
  </si>
  <si>
    <t>查找b开头并且是三个字符所对应的数值</t>
    <phoneticPr fontId="18" type="noConversion"/>
  </si>
  <si>
    <t xml:space="preserve">a </t>
    <phoneticPr fontId="18" type="noConversion"/>
  </si>
  <si>
    <t>查找a对应的值</t>
    <phoneticPr fontId="18" type="noConversion"/>
  </si>
  <si>
    <t>品牌名称</t>
    <phoneticPr fontId="18" type="noConversion"/>
  </si>
  <si>
    <t>品牌ID</t>
    <phoneticPr fontId="18" type="noConversion"/>
  </si>
  <si>
    <t>八、index和match函数</t>
    <phoneticPr fontId="18" type="noConversion"/>
  </si>
  <si>
    <t>美团GMV</t>
    <phoneticPr fontId="18" type="noConversion"/>
  </si>
  <si>
    <t>行标签</t>
  </si>
  <si>
    <t>总计</t>
  </si>
  <si>
    <t>求和项:GMV</t>
  </si>
  <si>
    <t>acd</t>
    <phoneticPr fontId="18" type="noConversion"/>
  </si>
  <si>
    <t>cb</t>
    <phoneticPr fontId="18" type="noConversion"/>
  </si>
  <si>
    <t>A</t>
  </si>
  <si>
    <t>B</t>
  </si>
  <si>
    <t>C</t>
  </si>
  <si>
    <t>D</t>
  </si>
  <si>
    <t>a</t>
  </si>
  <si>
    <t>b</t>
  </si>
  <si>
    <t>上个月这一天的GMV</t>
    <phoneticPr fontId="18" type="noConversion"/>
  </si>
  <si>
    <t>每个月第一天</t>
    <phoneticPr fontId="18" type="noConversion"/>
  </si>
  <si>
    <t>错误的每个月最后一天</t>
    <phoneticPr fontId="18" type="noConversion"/>
  </si>
  <si>
    <t>正确的每个月最后一天</t>
    <phoneticPr fontId="18" type="noConversion"/>
  </si>
  <si>
    <t>bdd1</t>
    <phoneticPr fontId="18" type="noConversion"/>
  </si>
  <si>
    <t>蛙小辣火锅杯（总账号）</t>
    <phoneticPr fontId="18" type="noConversion"/>
  </si>
  <si>
    <t>Year</t>
    <phoneticPr fontId="18" type="noConversion"/>
  </si>
  <si>
    <t>Month</t>
    <phoneticPr fontId="18" type="noConversion"/>
  </si>
  <si>
    <t>Day</t>
    <phoneticPr fontId="18" type="noConversion"/>
  </si>
  <si>
    <t>Date</t>
    <phoneticPr fontId="18" type="noConversion"/>
  </si>
  <si>
    <t>平均值项:值2</t>
  </si>
  <si>
    <t>全部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</si>
</sst>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 * #,##0.00_ ;_ * \-#,##0.00_ ;_ * &quot;-&quot;??_ ;_ @_ "/>
    <numFmt numFmtId="178" formatCode="[$-804]aaa;@"/>
    <numFmt numFmtId="180" formatCode="yyyy/mm/dd"/>
    <numFmt numFmtId="181" formatCode="yyyy/mm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5" tint="-0.249977111117893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8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42" applyFont="1" applyFill="1">
      <alignment vertical="center"/>
    </xf>
    <xf numFmtId="180" fontId="0" fillId="0" borderId="18" xfId="0" applyNumberForma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18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80" fontId="0" fillId="0" borderId="0" xfId="0" applyNumberFormat="1">
      <alignment vertical="center"/>
    </xf>
    <xf numFmtId="10" fontId="0" fillId="0" borderId="18" xfId="43" applyNumberFormat="1" applyFont="1" applyFill="1" applyBorder="1" applyAlignment="1">
      <alignment horizontal="center" vertical="center"/>
    </xf>
    <xf numFmtId="10" fontId="0" fillId="0" borderId="18" xfId="43" applyNumberFormat="1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19" fillId="0" borderId="0" xfId="0" applyFon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9" fillId="0" borderId="10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17" xfId="0" applyFont="1" applyBorder="1">
      <alignment vertical="center"/>
    </xf>
    <xf numFmtId="0" fontId="22" fillId="0" borderId="10" xfId="0" applyFont="1" applyBorder="1">
      <alignment vertical="center"/>
    </xf>
    <xf numFmtId="0" fontId="19" fillId="0" borderId="11" xfId="0" applyFont="1" applyBorder="1">
      <alignment vertical="center"/>
    </xf>
    <xf numFmtId="14" fontId="19" fillId="0" borderId="13" xfId="0" applyNumberFormat="1" applyFont="1" applyBorder="1">
      <alignment vertical="center"/>
    </xf>
    <xf numFmtId="10" fontId="19" fillId="0" borderId="0" xfId="43" applyNumberFormat="1" applyFont="1" applyBorder="1">
      <alignment vertical="center"/>
    </xf>
    <xf numFmtId="1" fontId="19" fillId="0" borderId="14" xfId="0" applyNumberFormat="1" applyFont="1" applyBorder="1">
      <alignment vertical="center"/>
    </xf>
    <xf numFmtId="0" fontId="19" fillId="0" borderId="16" xfId="0" applyFont="1" applyBorder="1">
      <alignment vertical="center"/>
    </xf>
    <xf numFmtId="1" fontId="19" fillId="0" borderId="16" xfId="0" applyNumberFormat="1" applyFont="1" applyBorder="1">
      <alignment vertical="center"/>
    </xf>
    <xf numFmtId="10" fontId="19" fillId="0" borderId="16" xfId="43" applyNumberFormat="1" applyFont="1" applyBorder="1">
      <alignment vertical="center"/>
    </xf>
    <xf numFmtId="1" fontId="19" fillId="0" borderId="17" xfId="0" applyNumberFormat="1" applyFont="1" applyBorder="1">
      <alignment vertical="center"/>
    </xf>
    <xf numFmtId="10" fontId="19" fillId="0" borderId="14" xfId="43" applyNumberFormat="1" applyFont="1" applyBorder="1">
      <alignment vertical="center"/>
    </xf>
    <xf numFmtId="10" fontId="19" fillId="0" borderId="17" xfId="43" applyNumberFormat="1" applyFont="1" applyBorder="1">
      <alignment vertical="center"/>
    </xf>
    <xf numFmtId="0" fontId="19" fillId="34" borderId="13" xfId="0" applyFont="1" applyFill="1" applyBorder="1">
      <alignment vertical="center"/>
    </xf>
    <xf numFmtId="0" fontId="19" fillId="34" borderId="14" xfId="0" applyFont="1" applyFill="1" applyBorder="1">
      <alignment vertical="center"/>
    </xf>
    <xf numFmtId="0" fontId="16" fillId="0" borderId="0" xfId="0" applyFont="1">
      <alignment vertical="center"/>
    </xf>
    <xf numFmtId="14" fontId="19" fillId="0" borderId="15" xfId="0" applyNumberFormat="1" applyFont="1" applyBorder="1">
      <alignment vertical="center"/>
    </xf>
    <xf numFmtId="178" fontId="19" fillId="0" borderId="16" xfId="0" applyNumberFormat="1" applyFont="1" applyBorder="1">
      <alignment vertical="center"/>
    </xf>
    <xf numFmtId="9" fontId="19" fillId="0" borderId="13" xfId="43" applyFont="1" applyBorder="1">
      <alignment vertical="center"/>
    </xf>
    <xf numFmtId="9" fontId="19" fillId="0" borderId="14" xfId="43" applyFont="1" applyBorder="1">
      <alignment vertical="center"/>
    </xf>
    <xf numFmtId="14" fontId="19" fillId="0" borderId="11" xfId="0" applyNumberFormat="1" applyFont="1" applyBorder="1">
      <alignment vertical="center"/>
    </xf>
    <xf numFmtId="0" fontId="22" fillId="0" borderId="13" xfId="0" applyFont="1" applyBorder="1">
      <alignment vertical="center"/>
    </xf>
    <xf numFmtId="0" fontId="19" fillId="0" borderId="0" xfId="0" applyFont="1" applyBorder="1">
      <alignment vertical="center"/>
    </xf>
    <xf numFmtId="0" fontId="21" fillId="0" borderId="13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10" fontId="21" fillId="0" borderId="0" xfId="0" applyNumberFormat="1" applyFont="1" applyBorder="1" applyAlignment="1">
      <alignment horizontal="right" vertical="center"/>
    </xf>
    <xf numFmtId="10" fontId="21" fillId="0" borderId="0" xfId="43" applyNumberFormat="1" applyFont="1" applyBorder="1">
      <alignment vertical="center"/>
    </xf>
    <xf numFmtId="10" fontId="21" fillId="0" borderId="0" xfId="43" applyNumberFormat="1" applyFont="1" applyBorder="1" applyAlignment="1">
      <alignment horizontal="right" vertical="center"/>
    </xf>
    <xf numFmtId="9" fontId="21" fillId="0" borderId="0" xfId="43" applyFont="1" applyBorder="1">
      <alignment vertical="center"/>
    </xf>
    <xf numFmtId="0" fontId="19" fillId="33" borderId="14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178" fontId="19" fillId="0" borderId="0" xfId="0" applyNumberFormat="1" applyFont="1" applyBorder="1">
      <alignment vertical="center"/>
    </xf>
    <xf numFmtId="1" fontId="19" fillId="0" borderId="0" xfId="0" applyNumberFormat="1" applyFont="1" applyBorder="1">
      <alignment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0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ont>
        <b/>
        <i val="0"/>
        <u/>
      </font>
    </dxf>
    <dxf>
      <font>
        <color theme="9"/>
      </font>
    </dxf>
    <dxf>
      <font>
        <color rgb="FFC00000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3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 Kong" refreshedDate="45213.696714120371" createdVersion="8" refreshedVersion="8" minRefreshableVersion="3" recordCount="8" xr:uid="{C8C538BC-8525-4A06-A6B6-DA429AB2B22E}">
  <cacheSource type="worksheet">
    <worksheetSource ref="K69:M77" sheet="常用函数-练习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AA25B-09EB-4598-AB88-D7F62DB7E2D4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G79:H88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A434F-496E-4DE3-9B22-EACF781BB7AD}" name="数据透视表1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K79:L88" firstHeaderRow="1" firstDataRow="1" firstDataCol="1"/>
  <pivotFields count="3">
    <pivotField axis="axisRow" showAll="0">
      <items count="5">
        <item x="0"/>
        <item sd="0"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9">
    <i>
      <x/>
    </i>
    <i r="1">
      <x/>
    </i>
    <i r="1">
      <x v="1"/>
    </i>
    <i>
      <x v="1"/>
    </i>
    <i>
      <x v="2"/>
    </i>
    <i r="1">
      <x/>
    </i>
    <i>
      <x v="3"/>
    </i>
    <i r="1">
      <x v="1"/>
    </i>
    <i t="grand">
      <x/>
    </i>
  </rowItems>
  <colItems count="1">
    <i/>
  </colItems>
  <dataFields count="1">
    <dataField name="平均值项:值2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zoomScale="71" workbookViewId="0"/>
  </sheetViews>
  <sheetFormatPr defaultRowHeight="14" x14ac:dyDescent="0.3"/>
  <cols>
    <col min="1" max="1" width="10.5" style="1" bestFit="1" customWidth="1"/>
    <col min="3" max="3" width="23.5" bestFit="1" customWidth="1"/>
    <col min="4" max="4" width="11.58203125" bestFit="1" customWidth="1"/>
    <col min="5" max="5" width="24.5" bestFit="1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3</v>
      </c>
      <c r="B1" t="s">
        <v>129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3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13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1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13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13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13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13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13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148</v>
      </c>
      <c r="D9" t="s">
        <v>45</v>
      </c>
      <c r="E9" t="s">
        <v>21</v>
      </c>
      <c r="F9" s="13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3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3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3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3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3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3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3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3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3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3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3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3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3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3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3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3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3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3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3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3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3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3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3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3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3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3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3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3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3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3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3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3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3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3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3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3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3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3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3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3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3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3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3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3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3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3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3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3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3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3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3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3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3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3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3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3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3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3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3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3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3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3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3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3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3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3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3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3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3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3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3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3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3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3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3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3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3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3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3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3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3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3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3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3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3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3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3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3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3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3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3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3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3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3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3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3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3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3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3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3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3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3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3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3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3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3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3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3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3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3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3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3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3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3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3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3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3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3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3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3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3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3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3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3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3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3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3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3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3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3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3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3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3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3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3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3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3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3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3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3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3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3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3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3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3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3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3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3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3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3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3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3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3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3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3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3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3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3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3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3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3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3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3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3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3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3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3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3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3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3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3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3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3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3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3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3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3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3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3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3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3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3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3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3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3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3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3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3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3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3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3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3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3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3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3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3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3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3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3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3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3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3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3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3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3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3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3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3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3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3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3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3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3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3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3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3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3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3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3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3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3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3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3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3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3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3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3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3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3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3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3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3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3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3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3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3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3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3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3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3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3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3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3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3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3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3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3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3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3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3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3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3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3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3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3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3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3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3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3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3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3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3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3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3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3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3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3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E0942033-AF8A-492B-A35C-ABA2A3AA8982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D98B-4F93-4580-87FD-028177DA27B4}">
  <sheetPr>
    <tabColor theme="9" tint="0.39997558519241921"/>
  </sheetPr>
  <dimension ref="B1:M131"/>
  <sheetViews>
    <sheetView tabSelected="1" topLeftCell="A76" zoomScale="53" workbookViewId="0">
      <selection activeCell="D15" sqref="D15"/>
    </sheetView>
  </sheetViews>
  <sheetFormatPr defaultColWidth="9" defaultRowHeight="14" x14ac:dyDescent="0.3"/>
  <cols>
    <col min="2" max="2" width="13.33203125" customWidth="1"/>
    <col min="3" max="3" width="42" customWidth="1"/>
    <col min="4" max="4" width="28.9140625" customWidth="1"/>
    <col min="5" max="5" width="34.08203125" customWidth="1"/>
    <col min="6" max="7" width="21.33203125" bestFit="1" customWidth="1"/>
    <col min="8" max="8" width="14.25" customWidth="1"/>
    <col min="9" max="9" width="12.08203125" customWidth="1"/>
    <col min="10" max="10" width="19.5" bestFit="1" customWidth="1"/>
    <col min="11" max="11" width="16.75" customWidth="1"/>
    <col min="12" max="13" width="11.58203125" bestFit="1" customWidth="1"/>
    <col min="15" max="15" width="11.33203125" bestFit="1" customWidth="1"/>
    <col min="16" max="16" width="11.83203125" bestFit="1" customWidth="1"/>
    <col min="19" max="19" width="10" bestFit="1" customWidth="1"/>
    <col min="20" max="20" width="12.33203125" bestFit="1" customWidth="1"/>
    <col min="23" max="23" width="9.08203125" bestFit="1" customWidth="1"/>
    <col min="24" max="24" width="10.5" bestFit="1" customWidth="1"/>
  </cols>
  <sheetData>
    <row r="1" spans="2:13" x14ac:dyDescent="0.3">
      <c r="M1" s="2"/>
    </row>
    <row r="2" spans="2:13" x14ac:dyDescent="0.3">
      <c r="B2" t="s">
        <v>78</v>
      </c>
      <c r="M2" s="2"/>
    </row>
    <row r="3" spans="2:13" x14ac:dyDescent="0.3">
      <c r="M3" s="2"/>
    </row>
    <row r="4" spans="2:13" x14ac:dyDescent="0.3">
      <c r="B4" s="3"/>
      <c r="C4" s="4" t="s">
        <v>83</v>
      </c>
      <c r="D4" s="4" t="s">
        <v>84</v>
      </c>
      <c r="M4" s="2"/>
    </row>
    <row r="5" spans="2:13" x14ac:dyDescent="0.3">
      <c r="B5" s="4" t="s">
        <v>72</v>
      </c>
      <c r="C5" s="4">
        <f>SUM('拌客源数据1-8月'!J:J)</f>
        <v>1071473.2499999998</v>
      </c>
      <c r="D5" s="4">
        <f>SUM('拌客源数据1-8月'!J2:J25,'拌客源数据1-8月'!J496:J562)</f>
        <v>145618.28999999995</v>
      </c>
      <c r="M5" s="2"/>
    </row>
    <row r="6" spans="2:13" x14ac:dyDescent="0.3">
      <c r="B6" s="5"/>
      <c r="C6" s="5"/>
      <c r="M6" s="2"/>
    </row>
    <row r="7" spans="2:13" x14ac:dyDescent="0.3">
      <c r="B7" s="5"/>
      <c r="C7" s="5"/>
      <c r="M7" s="2"/>
    </row>
    <row r="8" spans="2:13" x14ac:dyDescent="0.3">
      <c r="B8" s="5"/>
      <c r="C8" s="5"/>
      <c r="M8" s="2"/>
    </row>
    <row r="9" spans="2:13" x14ac:dyDescent="0.3">
      <c r="B9" s="5"/>
      <c r="C9" s="5"/>
      <c r="M9" s="2"/>
    </row>
    <row r="10" spans="2:13" x14ac:dyDescent="0.3">
      <c r="C10" s="6"/>
      <c r="M10" s="2"/>
    </row>
    <row r="11" spans="2:13" x14ac:dyDescent="0.3">
      <c r="C11" s="1"/>
      <c r="D11" s="1"/>
      <c r="M11" s="2"/>
    </row>
    <row r="12" spans="2:13" x14ac:dyDescent="0.3">
      <c r="B12" t="s">
        <v>79</v>
      </c>
      <c r="D12" s="14"/>
      <c r="M12" s="2"/>
    </row>
    <row r="13" spans="2:13" x14ac:dyDescent="0.3">
      <c r="M13" s="2"/>
    </row>
    <row r="14" spans="2:13" x14ac:dyDescent="0.3">
      <c r="B14" s="3"/>
      <c r="C14" s="4" t="s">
        <v>55</v>
      </c>
      <c r="E14" s="23"/>
      <c r="F14" s="14"/>
      <c r="G14" s="14"/>
    </row>
    <row r="15" spans="2:13" x14ac:dyDescent="0.3">
      <c r="B15" s="7">
        <v>44013</v>
      </c>
      <c r="C15" s="4">
        <f>SUMIF('拌客源数据1-8月'!$A:$A, $B15, '拌客源数据1-8月'!J:J)</f>
        <v>6001.38</v>
      </c>
      <c r="D15" s="5"/>
      <c r="E15" s="23"/>
      <c r="F15" s="14"/>
      <c r="G15" s="14"/>
    </row>
    <row r="16" spans="2:13" x14ac:dyDescent="0.3">
      <c r="B16" s="7">
        <v>44019</v>
      </c>
      <c r="C16" s="4">
        <f>SUMIF('拌客源数据1-8月'!$A:$A, $B16, '拌客源数据1-8月'!J:J)</f>
        <v>4764.71</v>
      </c>
      <c r="D16" s="5"/>
      <c r="F16" s="14"/>
      <c r="G16" s="14"/>
    </row>
    <row r="17" spans="2:12" x14ac:dyDescent="0.3">
      <c r="B17" s="7">
        <v>44028</v>
      </c>
      <c r="C17" s="4">
        <f>SUMIF('拌客源数据1-8月'!A:A, B17, '拌客源数据1-8月'!J:J)</f>
        <v>11158.91</v>
      </c>
      <c r="D17" s="5"/>
      <c r="F17" s="14"/>
      <c r="G17" s="14"/>
    </row>
    <row r="18" spans="2:12" x14ac:dyDescent="0.3">
      <c r="B18" s="7">
        <v>44029</v>
      </c>
      <c r="C18" s="4">
        <f>SUMIF('拌客源数据1-8月'!A:A, B18, '拌客源数据1-8月'!J:J)</f>
        <v>10788.41</v>
      </c>
      <c r="D18" s="5"/>
      <c r="F18" s="14"/>
    </row>
    <row r="19" spans="2:12" x14ac:dyDescent="0.3">
      <c r="B19" s="7">
        <v>44051</v>
      </c>
      <c r="C19" s="4">
        <f>SUMIF('拌客源数据1-8月'!A:A, B19, '拌客源数据1-8月'!J:J)</f>
        <v>1374.4099999999999</v>
      </c>
      <c r="D19" s="5"/>
      <c r="F19" s="14"/>
    </row>
    <row r="20" spans="2:12" x14ac:dyDescent="0.3">
      <c r="B20" s="7">
        <v>44062</v>
      </c>
      <c r="C20" s="4">
        <f>SUMIF('拌客源数据1-8月'!A:A, B20, '拌客源数据1-8月'!J:J)</f>
        <v>2588.69</v>
      </c>
      <c r="D20" s="5"/>
      <c r="F20" s="14"/>
    </row>
    <row r="21" spans="2:12" x14ac:dyDescent="0.3">
      <c r="B21" s="7">
        <v>44064</v>
      </c>
      <c r="C21" s="4">
        <f>SUMIF('拌客源数据1-8月'!A:A, B21, '拌客源数据1-8月'!J:J)</f>
        <v>2118.79</v>
      </c>
      <c r="D21" s="5"/>
      <c r="F21" s="14"/>
    </row>
    <row r="22" spans="2:12" x14ac:dyDescent="0.3">
      <c r="B22" s="8"/>
      <c r="C22" s="5"/>
    </row>
    <row r="23" spans="2:12" x14ac:dyDescent="0.3">
      <c r="B23" s="8"/>
      <c r="C23" s="5"/>
    </row>
    <row r="24" spans="2:12" x14ac:dyDescent="0.3">
      <c r="B24" s="8"/>
      <c r="C24" s="5"/>
    </row>
    <row r="27" spans="2:12" x14ac:dyDescent="0.3">
      <c r="B27" t="s">
        <v>80</v>
      </c>
    </row>
    <row r="29" spans="2:12" x14ac:dyDescent="0.3">
      <c r="B29" s="3"/>
      <c r="C29" s="4" t="s">
        <v>131</v>
      </c>
      <c r="D29" s="4" t="s">
        <v>86</v>
      </c>
      <c r="E29" s="4" t="s">
        <v>85</v>
      </c>
      <c r="F29" s="5" t="s">
        <v>149</v>
      </c>
      <c r="G29" s="5" t="s">
        <v>150</v>
      </c>
      <c r="H29" s="5" t="s">
        <v>151</v>
      </c>
      <c r="I29" s="5" t="s">
        <v>152</v>
      </c>
      <c r="J29" s="5" t="s">
        <v>143</v>
      </c>
    </row>
    <row r="30" spans="2:12" x14ac:dyDescent="0.3">
      <c r="B30" s="7">
        <v>44043</v>
      </c>
      <c r="C30" s="4">
        <f>SUMIFS('拌客源数据1-8月'!J:J,'拌客源数据1-8月'!A:A,B30,'拌客源数据1-8月'!H:H,"美团")</f>
        <v>5773.69</v>
      </c>
      <c r="D30" s="15">
        <f>C30/SUMIFS('拌客源数据1-8月'!J:J,'拌客源数据1-8月'!A:A,B30-1,'拌客源数据1-8月'!H:H,"美团")-1</f>
        <v>0.2645073544227281</v>
      </c>
      <c r="E30" s="15">
        <f t="shared" ref="E30:E36" si="0">C30/J30-1</f>
        <v>4.7262764311500769</v>
      </c>
      <c r="F30">
        <f>YEAR(B30)</f>
        <v>2020</v>
      </c>
      <c r="G30">
        <f>MONTH(B30)</f>
        <v>7</v>
      </c>
      <c r="H30">
        <f>DAY(B30)</f>
        <v>31</v>
      </c>
      <c r="I30" s="1">
        <f>DATE(F30,G30,H30)</f>
        <v>44043</v>
      </c>
      <c r="J30">
        <f>SUMIFS('拌客源数据1-8月'!J:J,'拌客源数据1-8月'!A:A,DATE(YEAR(B30),MONTH(B30)-1,DAY(B30)),'拌客源数据1-8月'!H:H,"美团")</f>
        <v>1008.28</v>
      </c>
      <c r="K30" s="1"/>
      <c r="L30" s="14"/>
    </row>
    <row r="31" spans="2:12" x14ac:dyDescent="0.3">
      <c r="B31" s="7">
        <v>44014</v>
      </c>
      <c r="C31" s="4">
        <f>SUMIFS('拌客源数据1-8月'!J:J,'拌客源数据1-8月'!A:A,B31,'拌客源数据1-8月'!H:H,"美团")</f>
        <v>1023.39</v>
      </c>
      <c r="D31" s="15">
        <f>C31/SUMIFS('拌客源数据1-8月'!J:J,'拌客源数据1-8月'!A:A,B31-1,'拌客源数据1-8月'!H:H,"美团")-1</f>
        <v>1.4985916610465333E-2</v>
      </c>
      <c r="E31" s="15">
        <f t="shared" si="0"/>
        <v>0.21923585546302582</v>
      </c>
      <c r="F31">
        <f t="shared" ref="F31:F36" si="1">YEAR(B31)</f>
        <v>2020</v>
      </c>
      <c r="G31">
        <f t="shared" ref="G31:G36" si="2">MONTH(B31)</f>
        <v>7</v>
      </c>
      <c r="H31">
        <f t="shared" ref="H31:H36" si="3">DAY(B31)</f>
        <v>2</v>
      </c>
      <c r="I31" s="1">
        <f t="shared" ref="I31:I36" si="4">DATE(F31,G31,H31)</f>
        <v>44014</v>
      </c>
      <c r="J31">
        <f>SUMIFS('拌客源数据1-8月'!J:J,'拌客源数据1-8月'!A:A,DATE(YEAR(B31),MONTH(B31)-1,DAY(B31)),'拌客源数据1-8月'!H:H,"美团")</f>
        <v>839.37</v>
      </c>
    </row>
    <row r="32" spans="2:12" x14ac:dyDescent="0.3">
      <c r="B32" s="7">
        <v>44015</v>
      </c>
      <c r="C32" s="4">
        <f>SUMIFS('拌客源数据1-8月'!J:J,'拌客源数据1-8月'!A:A,B32,'拌客源数据1-8月'!H:H,"美团")</f>
        <v>999.86</v>
      </c>
      <c r="D32" s="15">
        <f>C32/SUMIFS('拌客源数据1-8月'!J:J,'拌客源数据1-8月'!A:A,B32-1,'拌客源数据1-8月'!H:H,"美团")-1</f>
        <v>-2.2992212157632919E-2</v>
      </c>
      <c r="E32" s="15">
        <f t="shared" si="0"/>
        <v>-0.18069110187893822</v>
      </c>
      <c r="F32">
        <f t="shared" si="1"/>
        <v>2020</v>
      </c>
      <c r="G32">
        <f t="shared" si="2"/>
        <v>7</v>
      </c>
      <c r="H32">
        <f t="shared" si="3"/>
        <v>3</v>
      </c>
      <c r="I32" s="1">
        <f t="shared" si="4"/>
        <v>44015</v>
      </c>
      <c r="J32">
        <f>SUMIFS('拌客源数据1-8月'!J:J,'拌客源数据1-8月'!A:A,DATE(YEAR(B32),MONTH(B32)-1,DAY(B32)),'拌客源数据1-8月'!H:H,"美团")</f>
        <v>1220.3699999999999</v>
      </c>
    </row>
    <row r="33" spans="2:10" x14ac:dyDescent="0.3">
      <c r="B33" s="7">
        <v>44016</v>
      </c>
      <c r="C33" s="4">
        <f>SUMIFS('拌客源数据1-8月'!J:J,'拌客源数据1-8月'!A:A,B33,'拌客源数据1-8月'!H:H,"美团")</f>
        <v>1144.82</v>
      </c>
      <c r="D33" s="15">
        <f>C33/SUMIFS('拌客源数据1-8月'!J:J,'拌客源数据1-8月'!A:A,B33-1,'拌客源数据1-8月'!H:H,"美团")-1</f>
        <v>0.14498029724161365</v>
      </c>
      <c r="E33" s="15">
        <f t="shared" si="0"/>
        <v>-0.22352973093957507</v>
      </c>
      <c r="F33">
        <f t="shared" si="1"/>
        <v>2020</v>
      </c>
      <c r="G33">
        <f t="shared" si="2"/>
        <v>7</v>
      </c>
      <c r="H33">
        <f t="shared" si="3"/>
        <v>4</v>
      </c>
      <c r="I33" s="1">
        <f t="shared" si="4"/>
        <v>44016</v>
      </c>
      <c r="J33">
        <f>SUMIFS('拌客源数据1-8月'!J:J,'拌客源数据1-8月'!A:A,DATE(YEAR(B33),MONTH(B33)-1,DAY(B33)),'拌客源数据1-8月'!H:H,"美团")</f>
        <v>1474.39</v>
      </c>
    </row>
    <row r="34" spans="2:10" x14ac:dyDescent="0.3">
      <c r="B34" s="7">
        <v>44017</v>
      </c>
      <c r="C34" s="4">
        <f>SUMIFS('拌客源数据1-8月'!J:J,'拌客源数据1-8月'!A:A,B34,'拌客源数据1-8月'!H:H,"美团")</f>
        <v>755.47</v>
      </c>
      <c r="D34" s="15">
        <f>C34/SUMIFS('拌客源数据1-8月'!J:J,'拌客源数据1-8月'!A:A,B34-1,'拌客源数据1-8月'!H:H,"美团")-1</f>
        <v>-0.34009713317377399</v>
      </c>
      <c r="E34" s="15">
        <f t="shared" si="0"/>
        <v>-0.33924291986635635</v>
      </c>
      <c r="F34">
        <f t="shared" si="1"/>
        <v>2020</v>
      </c>
      <c r="G34">
        <f t="shared" si="2"/>
        <v>7</v>
      </c>
      <c r="H34">
        <f t="shared" si="3"/>
        <v>5</v>
      </c>
      <c r="I34" s="1">
        <f t="shared" si="4"/>
        <v>44017</v>
      </c>
      <c r="J34">
        <f>SUMIFS('拌客源数据1-8月'!J:J,'拌客源数据1-8月'!A:A,DATE(YEAR(B34),MONTH(B34)-1,DAY(B34)),'拌客源数据1-8月'!H:H,"美团")</f>
        <v>1143.3399999999999</v>
      </c>
    </row>
    <row r="35" spans="2:10" x14ac:dyDescent="0.3">
      <c r="B35" s="7">
        <v>44044</v>
      </c>
      <c r="C35" s="4">
        <f>SUMIFS('拌客源数据1-8月'!J:J,'拌客源数据1-8月'!A:A,B35,'拌客源数据1-8月'!H:H,"美团")</f>
        <v>3387.1000000000004</v>
      </c>
      <c r="D35" s="15">
        <f>C35/SUMIFS('拌客源数据1-8月'!J:J,'拌客源数据1-8月'!A:A,B35-1,'拌客源数据1-8月'!H:H,"美团")-1</f>
        <v>-0.41335610328923089</v>
      </c>
      <c r="E35" s="15">
        <f t="shared" si="0"/>
        <v>2.3592851192129176</v>
      </c>
      <c r="F35">
        <f t="shared" si="1"/>
        <v>2020</v>
      </c>
      <c r="G35">
        <f t="shared" si="2"/>
        <v>8</v>
      </c>
      <c r="H35">
        <f t="shared" si="3"/>
        <v>1</v>
      </c>
      <c r="I35" s="1">
        <f t="shared" si="4"/>
        <v>44044</v>
      </c>
      <c r="J35">
        <f>SUMIFS('拌客源数据1-8月'!J:J,'拌客源数据1-8月'!A:A,DATE(YEAR(B35),MONTH(B35)-1,DAY(B35)),'拌客源数据1-8月'!H:H,"美团")</f>
        <v>1008.28</v>
      </c>
    </row>
    <row r="36" spans="2:10" x14ac:dyDescent="0.3">
      <c r="B36" s="7">
        <v>44048</v>
      </c>
      <c r="C36" s="4">
        <f>SUMIFS('拌客源数据1-8月'!J:J,'拌客源数据1-8月'!A:A,B36,'拌客源数据1-8月'!H:H,"美团")</f>
        <v>1817.37</v>
      </c>
      <c r="D36" s="15">
        <f>C36/SUMIFS('拌客源数据1-8月'!J:J,'拌客源数据1-8月'!A:A,B36-1,'拌客源数据1-8月'!H:H,"美团")-1</f>
        <v>0.12391465677179947</v>
      </c>
      <c r="E36" s="15">
        <f t="shared" si="0"/>
        <v>1.4056150475862705</v>
      </c>
      <c r="F36">
        <f t="shared" si="1"/>
        <v>2020</v>
      </c>
      <c r="G36">
        <f t="shared" si="2"/>
        <v>8</v>
      </c>
      <c r="H36">
        <f t="shared" si="3"/>
        <v>5</v>
      </c>
      <c r="I36" s="1">
        <f t="shared" si="4"/>
        <v>44048</v>
      </c>
      <c r="J36">
        <f>SUMIFS('拌客源数据1-8月'!J:J,'拌客源数据1-8月'!A:A,DATE(YEAR(B36),MONTH(B36)-1,DAY(B36)),'拌客源数据1-8月'!H:H,"美团")</f>
        <v>755.47</v>
      </c>
    </row>
    <row r="37" spans="2:10" x14ac:dyDescent="0.3">
      <c r="F37" s="12"/>
    </row>
    <row r="38" spans="2:10" x14ac:dyDescent="0.3">
      <c r="B38" s="3"/>
      <c r="C38" s="4" t="s">
        <v>131</v>
      </c>
      <c r="D38" s="4" t="s">
        <v>87</v>
      </c>
      <c r="E38" s="5" t="s">
        <v>144</v>
      </c>
      <c r="F38" s="5" t="s">
        <v>145</v>
      </c>
      <c r="G38" s="5" t="s">
        <v>146</v>
      </c>
    </row>
    <row r="39" spans="2:10" x14ac:dyDescent="0.3">
      <c r="B39" s="9">
        <v>43831</v>
      </c>
      <c r="C39" s="4">
        <f>SUMIFS('拌客源数据1-8月'!J:J,'拌客源数据1-8月'!H:H,"美团", '拌客源数据1-8月'!A:A,"&gt;="&amp;DATE(YEAR(B39),MONTH(B39),1),'拌客源数据1-8月'!A:A,"&lt;="&amp;DATE(YEAR(B39),MONTH(B39)+1,1)-1)</f>
        <v>6787.9800000000005</v>
      </c>
      <c r="D39" s="16" t="e">
        <f>C39/SUMIFS('拌客源数据1-8月'!J:J,'拌客源数据1-8月'!H:H,"美团", '拌客源数据1-8月'!A:A,"&gt;="&amp;DATE(YEAR(B39),MONTH(B39)-1,1),'拌客源数据1-8月'!A:A,"&lt;="&amp;DATE(YEAR(B39),MONTH(B39),1)-1)-1</f>
        <v>#DIV/0!</v>
      </c>
      <c r="E39" s="1">
        <f>DATE(YEAR(B39),MONTH(B39), 1)</f>
        <v>43831</v>
      </c>
      <c r="G39" s="1">
        <f>DATE(YEAR(B39),MONTH(B39)+1, 1)-1</f>
        <v>43861</v>
      </c>
    </row>
    <row r="40" spans="2:10" x14ac:dyDescent="0.3">
      <c r="B40" s="9">
        <v>43862</v>
      </c>
      <c r="C40" s="4">
        <f>SUMIFS('拌客源数据1-8月'!J:J,'拌客源数据1-8月'!H:H,"美团", '拌客源数据1-8月'!A:A,"&gt;="&amp;DATE(YEAR(B40),MONTH(B40),1),'拌客源数据1-8月'!A:A,"&lt;="&amp;DATE(YEAR(B40),MONTH(B40)+1,1)-1)</f>
        <v>2678.62</v>
      </c>
      <c r="D40" s="16">
        <f>C40/SUMIFS('拌客源数据1-8月'!J:J,'拌客源数据1-8月'!H:H,"美团", '拌客源数据1-8月'!A:A,"&gt;="&amp;DATE(YEAR(B40),MONTH(B40)-1,1),'拌客源数据1-8月'!A:A,"&lt;="&amp;DATE(YEAR(B40),MONTH(B40),1)-1)-1</f>
        <v>-0.60538775895037999</v>
      </c>
      <c r="E40" s="1">
        <f t="shared" ref="E40:E46" si="5">DATE(YEAR(B40),MONTH(B40), 1)</f>
        <v>43862</v>
      </c>
      <c r="G40" s="1">
        <f t="shared" ref="G40:G46" si="6">DATE(YEAR(B40),MONTH(B40)+1, 1)-1</f>
        <v>43890</v>
      </c>
    </row>
    <row r="41" spans="2:10" x14ac:dyDescent="0.3">
      <c r="B41" s="9">
        <v>43891</v>
      </c>
      <c r="C41" s="4">
        <f>SUMIFS('拌客源数据1-8月'!J:J,'拌客源数据1-8月'!H:H,"美团", '拌客源数据1-8月'!A:A,"&gt;="&amp;DATE(YEAR(B41),MONTH(B41),1),'拌客源数据1-8月'!A:A,"&lt;="&amp;DATE(YEAR(B41),MONTH(B41)+1,1)-1)</f>
        <v>24829.310000000009</v>
      </c>
      <c r="D41" s="16">
        <f>C41/SUMIFS('拌客源数据1-8月'!J:J,'拌客源数据1-8月'!H:H,"美团", '拌客源数据1-8月'!A:A,"&gt;="&amp;DATE(YEAR(B41),MONTH(B41)-1,1),'拌客源数据1-8月'!A:A,"&lt;="&amp;DATE(YEAR(B41),MONTH(B41),1)-1)-1</f>
        <v>8.2694409808035516</v>
      </c>
      <c r="E41" s="1">
        <f t="shared" si="5"/>
        <v>43891</v>
      </c>
      <c r="G41" s="1">
        <f t="shared" si="6"/>
        <v>43921</v>
      </c>
    </row>
    <row r="42" spans="2:10" x14ac:dyDescent="0.3">
      <c r="B42" s="9">
        <v>43922</v>
      </c>
      <c r="C42" s="4">
        <f>SUMIFS('拌客源数据1-8月'!J:J,'拌客源数据1-8月'!H:H,"美团", '拌客源数据1-8月'!A:A,"&gt;="&amp;DATE(YEAR(B42),MONTH(B42),1),'拌客源数据1-8月'!A:A,"&lt;="&amp;DATE(YEAR(B42),MONTH(B42)+1,1)-1)</f>
        <v>38698.99</v>
      </c>
      <c r="D42" s="16">
        <f>C42/SUMIFS('拌客源数据1-8月'!J:J,'拌客源数据1-8月'!H:H,"美团", '拌客源数据1-8月'!A:A,"&gt;="&amp;DATE(YEAR(B42),MONTH(B42)-1,1),'拌客源数据1-8月'!A:A,"&lt;="&amp;DATE(YEAR(B42),MONTH(B42),1)-1)-1</f>
        <v>0.55860110490384085</v>
      </c>
      <c r="E42" s="1">
        <f t="shared" si="5"/>
        <v>43922</v>
      </c>
      <c r="G42" s="1">
        <f t="shared" si="6"/>
        <v>43951</v>
      </c>
    </row>
    <row r="43" spans="2:10" x14ac:dyDescent="0.3">
      <c r="B43" s="9">
        <v>43952</v>
      </c>
      <c r="C43" s="4">
        <f>SUMIFS('拌客源数据1-8月'!J:J,'拌客源数据1-8月'!H:H,"美团", '拌客源数据1-8月'!A:A,"&gt;="&amp;DATE(YEAR(B43),MONTH(B43),1),'拌客源数据1-8月'!A:A,"&lt;="&amp;DATE(YEAR(B43),MONTH(B43)+1,1)-1)</f>
        <v>30397.779999999995</v>
      </c>
      <c r="D43" s="16">
        <f>C43/SUMIFS('拌客源数据1-8月'!J:J,'拌客源数据1-8月'!H:H,"美团", '拌客源数据1-8月'!A:A,"&gt;="&amp;DATE(YEAR(B43),MONTH(B43)-1,1),'拌客源数据1-8月'!A:A,"&lt;="&amp;DATE(YEAR(B43),MONTH(B43),1)-1)-1</f>
        <v>-0.21450714863617892</v>
      </c>
      <c r="E43" s="1">
        <f t="shared" si="5"/>
        <v>43952</v>
      </c>
      <c r="G43" s="1">
        <f t="shared" si="6"/>
        <v>43982</v>
      </c>
    </row>
    <row r="44" spans="2:10" x14ac:dyDescent="0.3">
      <c r="B44" s="9">
        <v>43983</v>
      </c>
      <c r="C44" s="4">
        <f>SUMIFS('拌客源数据1-8月'!J:J,'拌客源数据1-8月'!H:H,"美团", '拌客源数据1-8月'!A:A,"&gt;="&amp;DATE(YEAR(B44),MONTH(B44),1),'拌客源数据1-8月'!A:A,"&lt;="&amp;DATE(YEAR(B44),MONTH(B44)+1,1)-1)</f>
        <v>26037.540000000005</v>
      </c>
      <c r="D44" s="16">
        <f>C44/SUMIFS('拌客源数据1-8月'!J:J,'拌客源数据1-8月'!H:H,"美团", '拌客源数据1-8月'!A:A,"&gt;="&amp;DATE(YEAR(B44),MONTH(B44)-1,1),'拌客源数据1-8月'!A:A,"&lt;="&amp;DATE(YEAR(B44),MONTH(B44),1)-1)-1</f>
        <v>-0.14343942222096451</v>
      </c>
      <c r="E44" s="1">
        <f t="shared" si="5"/>
        <v>43983</v>
      </c>
      <c r="G44" s="1">
        <f t="shared" si="6"/>
        <v>44012</v>
      </c>
    </row>
    <row r="45" spans="2:10" x14ac:dyDescent="0.3">
      <c r="B45" s="9">
        <v>44013</v>
      </c>
      <c r="C45" s="4">
        <f>SUMIFS('拌客源数据1-8月'!J:J,'拌客源数据1-8月'!H:H,"美团", '拌客源数据1-8月'!A:A,"&gt;="&amp;DATE(YEAR(B45),MONTH(B45),1),'拌客源数据1-8月'!A:A,"&lt;="&amp;DATE(YEAR(B45),MONTH(B45)+1,1)-1)</f>
        <v>133045.43</v>
      </c>
      <c r="D45" s="16">
        <f>C45/SUMIFS('拌客源数据1-8月'!J:J,'拌客源数据1-8月'!H:H,"美团", '拌客源数据1-8月'!A:A,"&gt;="&amp;DATE(YEAR(B45),MONTH(B45)-1,1),'拌客源数据1-8月'!A:A,"&lt;="&amp;DATE(YEAR(B45),MONTH(B45),1)-1)-1</f>
        <v>4.1097542240933658</v>
      </c>
      <c r="E45" s="1">
        <f t="shared" si="5"/>
        <v>44013</v>
      </c>
      <c r="G45" s="1">
        <f t="shared" si="6"/>
        <v>44043</v>
      </c>
    </row>
    <row r="46" spans="2:10" x14ac:dyDescent="0.3">
      <c r="B46" s="9">
        <v>44044</v>
      </c>
      <c r="C46" s="4">
        <f>SUMIFS('拌客源数据1-8月'!J:J,'拌客源数据1-8月'!H:H,"美团", '拌客源数据1-8月'!A:A,"&gt;="&amp;DATE(YEAR(B46),MONTH(B46),1),'拌客源数据1-8月'!A:A,"&lt;="&amp;DATE(YEAR(B46),MONTH(B46)+1,1)-1)</f>
        <v>42659.520000000004</v>
      </c>
      <c r="D46" s="16">
        <f>C46/SUMIFS('拌客源数据1-8月'!J:J,'拌客源数据1-8月'!H:H,"美团", '拌客源数据1-8月'!A:A,"&gt;="&amp;DATE(YEAR(B46),MONTH(B46)-1,1),'拌客源数据1-8月'!A:A,"&lt;="&amp;DATE(YEAR(B46),MONTH(B46),1)-1)-1</f>
        <v>-0.67936125276907289</v>
      </c>
      <c r="E46" s="1">
        <f t="shared" si="5"/>
        <v>44044</v>
      </c>
      <c r="G46" s="1">
        <f t="shared" si="6"/>
        <v>44074</v>
      </c>
    </row>
    <row r="47" spans="2:10" x14ac:dyDescent="0.3">
      <c r="B47" s="10"/>
      <c r="C47" s="22"/>
    </row>
    <row r="48" spans="2:10" x14ac:dyDescent="0.3">
      <c r="B48" s="10"/>
    </row>
    <row r="49" spans="2:5" x14ac:dyDescent="0.3">
      <c r="B49" s="10"/>
    </row>
    <row r="52" spans="2:5" x14ac:dyDescent="0.3">
      <c r="B52" t="s">
        <v>81</v>
      </c>
    </row>
    <row r="54" spans="2:5" x14ac:dyDescent="0.3">
      <c r="B54" s="3"/>
      <c r="C54" s="4" t="s">
        <v>88</v>
      </c>
      <c r="D54" s="4" t="s">
        <v>89</v>
      </c>
    </row>
    <row r="55" spans="2:5" x14ac:dyDescent="0.3">
      <c r="B55" s="4" t="s">
        <v>55</v>
      </c>
      <c r="C55" s="3">
        <f>SUM('拌客源数据1-8月'!J:J)</f>
        <v>1071473.2499999998</v>
      </c>
      <c r="D55" s="3">
        <f>SUBTOTAL(9,'拌客源数据1-8月'!J:J)</f>
        <v>1071473.2499999998</v>
      </c>
    </row>
    <row r="56" spans="2:5" x14ac:dyDescent="0.3">
      <c r="B56" s="5"/>
    </row>
    <row r="57" spans="2:5" x14ac:dyDescent="0.3">
      <c r="B57" s="5"/>
    </row>
    <row r="58" spans="2:5" x14ac:dyDescent="0.3">
      <c r="B58" s="5"/>
    </row>
    <row r="61" spans="2:5" x14ac:dyDescent="0.3">
      <c r="B61" t="s">
        <v>82</v>
      </c>
    </row>
    <row r="63" spans="2:5" x14ac:dyDescent="0.3">
      <c r="B63" s="4" t="s">
        <v>98</v>
      </c>
      <c r="C63" s="4" t="s">
        <v>55</v>
      </c>
      <c r="D63" s="4" t="s">
        <v>100</v>
      </c>
      <c r="E63" s="5"/>
    </row>
    <row r="64" spans="2:5" x14ac:dyDescent="0.3">
      <c r="B64" s="4" t="s">
        <v>90</v>
      </c>
      <c r="C64" s="4">
        <v>64233.369999999995</v>
      </c>
      <c r="D64" s="4" t="str">
        <f>IF(C64&gt;100000,"达标","不达标")</f>
        <v>不达标</v>
      </c>
      <c r="E64" s="5"/>
    </row>
    <row r="65" spans="2:13" x14ac:dyDescent="0.3">
      <c r="B65" s="4" t="s">
        <v>91</v>
      </c>
      <c r="C65" s="4">
        <v>32755.710000000006</v>
      </c>
      <c r="D65" s="4" t="str">
        <f t="shared" ref="D65:D71" si="7">IF(C65&gt;100000,"达标","不达标")</f>
        <v>不达标</v>
      </c>
      <c r="E65" s="5"/>
    </row>
    <row r="66" spans="2:13" x14ac:dyDescent="0.3">
      <c r="B66" s="4" t="s">
        <v>92</v>
      </c>
      <c r="C66" s="4">
        <v>78895.689999999988</v>
      </c>
      <c r="D66" s="4" t="str">
        <f t="shared" si="7"/>
        <v>不达标</v>
      </c>
      <c r="E66" s="5"/>
    </row>
    <row r="67" spans="2:13" x14ac:dyDescent="0.3">
      <c r="B67" s="4" t="s">
        <v>93</v>
      </c>
      <c r="C67" s="4">
        <v>108307.06999999999</v>
      </c>
      <c r="D67" s="4" t="str">
        <f t="shared" si="7"/>
        <v>达标</v>
      </c>
      <c r="E67" s="5"/>
    </row>
    <row r="68" spans="2:13" x14ac:dyDescent="0.3">
      <c r="B68" s="4" t="s">
        <v>94</v>
      </c>
      <c r="C68" s="4">
        <v>194276.97</v>
      </c>
      <c r="D68" s="4" t="str">
        <f t="shared" si="7"/>
        <v>达标</v>
      </c>
      <c r="E68" s="5"/>
      <c r="K68" t="s">
        <v>116</v>
      </c>
    </row>
    <row r="69" spans="2:13" x14ac:dyDescent="0.3">
      <c r="B69" s="4" t="s">
        <v>95</v>
      </c>
      <c r="C69" s="4">
        <v>255727.79000000007</v>
      </c>
      <c r="D69" s="4" t="str">
        <f t="shared" si="7"/>
        <v>达标</v>
      </c>
      <c r="E69" s="5"/>
      <c r="G69" s="4" t="s">
        <v>103</v>
      </c>
      <c r="H69" s="4" t="s">
        <v>55</v>
      </c>
      <c r="I69" s="5"/>
      <c r="J69" s="5"/>
      <c r="K69" s="4" t="s">
        <v>108</v>
      </c>
      <c r="L69" s="4" t="s">
        <v>111</v>
      </c>
      <c r="M69" s="4" t="s">
        <v>115</v>
      </c>
    </row>
    <row r="70" spans="2:13" x14ac:dyDescent="0.3">
      <c r="B70" s="4" t="s">
        <v>96</v>
      </c>
      <c r="C70" s="4">
        <v>255891.73</v>
      </c>
      <c r="D70" s="4" t="str">
        <f t="shared" si="7"/>
        <v>达标</v>
      </c>
      <c r="E70" s="5"/>
      <c r="G70" s="11" t="s">
        <v>46</v>
      </c>
      <c r="H70" s="3">
        <f>VLOOKUP(G70,$G$80:$H$87,2,0)</f>
        <v>273854.58</v>
      </c>
      <c r="K70" s="4" t="s">
        <v>106</v>
      </c>
      <c r="L70" s="4" t="s">
        <v>112</v>
      </c>
      <c r="M70" s="4">
        <v>1</v>
      </c>
    </row>
    <row r="71" spans="2:13" x14ac:dyDescent="0.3">
      <c r="B71" s="4" t="s">
        <v>97</v>
      </c>
      <c r="C71" s="4">
        <v>81384.920000000013</v>
      </c>
      <c r="D71" s="4" t="str">
        <f t="shared" si="7"/>
        <v>不达标</v>
      </c>
      <c r="E71" s="5"/>
      <c r="G71" s="11" t="s">
        <v>47</v>
      </c>
      <c r="H71" s="3">
        <f>VLOOKUP(G71,$G$80:$H$87,2,0)</f>
        <v>16838.82</v>
      </c>
      <c r="K71" s="4" t="s">
        <v>106</v>
      </c>
      <c r="L71" s="4" t="s">
        <v>113</v>
      </c>
      <c r="M71" s="4">
        <v>2</v>
      </c>
    </row>
    <row r="72" spans="2:13" x14ac:dyDescent="0.3">
      <c r="B72" s="5"/>
      <c r="C72" s="5"/>
      <c r="D72" s="5"/>
      <c r="E72" s="5"/>
      <c r="G72" s="11" t="s">
        <v>44</v>
      </c>
      <c r="H72" s="3">
        <f>VLOOKUP(G72,$G$80:$H$87,2,0)</f>
        <v>6452.04</v>
      </c>
      <c r="K72" s="4" t="s">
        <v>107</v>
      </c>
      <c r="L72" s="4" t="s">
        <v>114</v>
      </c>
      <c r="M72" s="4">
        <v>3</v>
      </c>
    </row>
    <row r="73" spans="2:13" x14ac:dyDescent="0.3">
      <c r="B73" s="5"/>
      <c r="C73" s="5"/>
      <c r="D73" s="5"/>
      <c r="E73" s="5"/>
      <c r="G73" s="11" t="s">
        <v>45</v>
      </c>
      <c r="H73" s="3">
        <f>VLOOKUP(G73,$G$80:$H$87,2,0)</f>
        <v>60286.000000000022</v>
      </c>
      <c r="K73" s="4" t="s">
        <v>107</v>
      </c>
      <c r="L73" s="4" t="s">
        <v>114</v>
      </c>
      <c r="M73" s="4">
        <v>4</v>
      </c>
    </row>
    <row r="74" spans="2:13" x14ac:dyDescent="0.3">
      <c r="B74" s="5"/>
      <c r="C74" s="5"/>
      <c r="D74" s="5"/>
      <c r="E74" s="5"/>
      <c r="G74" s="11" t="s">
        <v>48</v>
      </c>
      <c r="H74" s="3">
        <f>VLOOKUP(G74,$G$80:$H$87,2,0)</f>
        <v>4313.57</v>
      </c>
      <c r="K74" s="4" t="s">
        <v>107</v>
      </c>
      <c r="L74" s="4" t="s">
        <v>112</v>
      </c>
      <c r="M74" s="4">
        <v>5</v>
      </c>
    </row>
    <row r="75" spans="2:13" x14ac:dyDescent="0.3">
      <c r="G75" s="11" t="s">
        <v>49</v>
      </c>
      <c r="H75" s="3">
        <f>VLOOKUP(G75,$G$80:$H$87,2,0)</f>
        <v>169975.03999999998</v>
      </c>
      <c r="K75" s="4" t="s">
        <v>109</v>
      </c>
      <c r="L75" s="4" t="s">
        <v>112</v>
      </c>
      <c r="M75" s="4">
        <v>6</v>
      </c>
    </row>
    <row r="76" spans="2:13" x14ac:dyDescent="0.3">
      <c r="G76" s="11" t="s">
        <v>50</v>
      </c>
      <c r="H76" s="3">
        <f>VLOOKUP(G76,$G$80:$H$87,2,0)</f>
        <v>425745.45999999996</v>
      </c>
      <c r="K76" s="4" t="s">
        <v>109</v>
      </c>
      <c r="L76" s="4" t="s">
        <v>112</v>
      </c>
      <c r="M76" s="4">
        <v>7</v>
      </c>
    </row>
    <row r="77" spans="2:13" x14ac:dyDescent="0.3">
      <c r="B77" t="s">
        <v>101</v>
      </c>
      <c r="G77" s="11" t="s">
        <v>51</v>
      </c>
      <c r="H77" s="3">
        <f>VLOOKUP(G77,$G$80:$H$87,2,0)</f>
        <v>114007.74</v>
      </c>
      <c r="K77" s="4" t="s">
        <v>110</v>
      </c>
      <c r="L77" s="4" t="s">
        <v>113</v>
      </c>
      <c r="M77" s="4">
        <v>8</v>
      </c>
    </row>
    <row r="78" spans="2:13" x14ac:dyDescent="0.3">
      <c r="G78" s="12"/>
      <c r="K78" s="5"/>
      <c r="L78" s="5"/>
      <c r="M78" s="5"/>
    </row>
    <row r="79" spans="2:13" x14ac:dyDescent="0.3">
      <c r="B79" s="4" t="s">
        <v>98</v>
      </c>
      <c r="C79" s="4" t="s">
        <v>55</v>
      </c>
      <c r="D79" s="4" t="s">
        <v>99</v>
      </c>
      <c r="E79" s="3" t="s">
        <v>102</v>
      </c>
      <c r="G79" s="17" t="s">
        <v>132</v>
      </c>
      <c r="H79" t="s">
        <v>134</v>
      </c>
      <c r="K79" s="17" t="s">
        <v>132</v>
      </c>
      <c r="L79" t="s">
        <v>153</v>
      </c>
    </row>
    <row r="80" spans="2:13" x14ac:dyDescent="0.3">
      <c r="B80" s="4" t="s">
        <v>90</v>
      </c>
      <c r="C80" s="4">
        <v>64233.37</v>
      </c>
      <c r="D80" s="4">
        <v>3344.24</v>
      </c>
      <c r="E80" s="4" t="b">
        <f>IF(C80&gt;100000,IF(D80&lt;5000, TRUE, FALSE), FALSE)</f>
        <v>0</v>
      </c>
      <c r="G80" s="13" t="s">
        <v>45</v>
      </c>
      <c r="H80">
        <v>60286.000000000022</v>
      </c>
      <c r="K80" s="13" t="s">
        <v>137</v>
      </c>
      <c r="L80">
        <v>1.5</v>
      </c>
    </row>
    <row r="81" spans="2:12" x14ac:dyDescent="0.3">
      <c r="B81" s="4" t="s">
        <v>91</v>
      </c>
      <c r="C81" s="4">
        <v>32755.710000000006</v>
      </c>
      <c r="D81" s="4">
        <v>902.87</v>
      </c>
      <c r="E81" s="4" t="b">
        <f t="shared" ref="E81:E87" si="8">IF(C81&gt;100000,IF(D81&lt;5000, TRUE, FALSE), FALSE)</f>
        <v>0</v>
      </c>
      <c r="G81" s="13" t="s">
        <v>46</v>
      </c>
      <c r="H81">
        <v>273854.58</v>
      </c>
      <c r="K81" s="18" t="s">
        <v>141</v>
      </c>
      <c r="L81">
        <v>1</v>
      </c>
    </row>
    <row r="82" spans="2:12" x14ac:dyDescent="0.3">
      <c r="B82" s="4" t="s">
        <v>92</v>
      </c>
      <c r="C82" s="4">
        <v>78895.689999999988</v>
      </c>
      <c r="D82" s="4">
        <v>2645.3200000000006</v>
      </c>
      <c r="E82" s="4" t="b">
        <f t="shared" si="8"/>
        <v>0</v>
      </c>
      <c r="G82" s="13" t="s">
        <v>44</v>
      </c>
      <c r="H82">
        <v>6452.04</v>
      </c>
      <c r="K82" s="18" t="s">
        <v>142</v>
      </c>
      <c r="L82">
        <v>2</v>
      </c>
    </row>
    <row r="83" spans="2:12" x14ac:dyDescent="0.3">
      <c r="B83" s="4" t="s">
        <v>93</v>
      </c>
      <c r="C83" s="4">
        <v>108307.07</v>
      </c>
      <c r="D83" s="4">
        <v>4513.12</v>
      </c>
      <c r="E83" s="4" t="b">
        <f t="shared" si="8"/>
        <v>1</v>
      </c>
      <c r="G83" s="13" t="s">
        <v>50</v>
      </c>
      <c r="H83">
        <v>425745.45999999996</v>
      </c>
      <c r="K83" s="13" t="s">
        <v>138</v>
      </c>
      <c r="L83">
        <v>4</v>
      </c>
    </row>
    <row r="84" spans="2:12" x14ac:dyDescent="0.3">
      <c r="B84" s="4" t="s">
        <v>94</v>
      </c>
      <c r="C84" s="4">
        <v>194276.97</v>
      </c>
      <c r="D84" s="4">
        <v>11804.4</v>
      </c>
      <c r="E84" s="4" t="b">
        <f t="shared" si="8"/>
        <v>0</v>
      </c>
      <c r="G84" s="13" t="s">
        <v>48</v>
      </c>
      <c r="H84">
        <v>4313.57</v>
      </c>
      <c r="K84" s="13" t="s">
        <v>139</v>
      </c>
      <c r="L84">
        <v>6.5</v>
      </c>
    </row>
    <row r="85" spans="2:12" x14ac:dyDescent="0.3">
      <c r="B85" s="4" t="s">
        <v>95</v>
      </c>
      <c r="C85" s="4">
        <v>255727.79000000007</v>
      </c>
      <c r="D85" s="4">
        <v>8302.5300000000007</v>
      </c>
      <c r="E85" s="4" t="b">
        <f t="shared" si="8"/>
        <v>0</v>
      </c>
      <c r="G85" s="13" t="s">
        <v>47</v>
      </c>
      <c r="H85">
        <v>16838.82</v>
      </c>
      <c r="K85" s="18" t="s">
        <v>141</v>
      </c>
      <c r="L85">
        <v>6.5</v>
      </c>
    </row>
    <row r="86" spans="2:12" x14ac:dyDescent="0.3">
      <c r="B86" s="4" t="s">
        <v>96</v>
      </c>
      <c r="C86" s="4">
        <v>255891.73</v>
      </c>
      <c r="D86" s="4">
        <v>13616.330000000004</v>
      </c>
      <c r="E86" s="4" t="b">
        <f t="shared" si="8"/>
        <v>0</v>
      </c>
      <c r="G86" s="13" t="s">
        <v>49</v>
      </c>
      <c r="H86">
        <v>169975.03999999998</v>
      </c>
      <c r="K86" s="13" t="s">
        <v>140</v>
      </c>
      <c r="L86">
        <v>8</v>
      </c>
    </row>
    <row r="87" spans="2:12" x14ac:dyDescent="0.3">
      <c r="B87" s="4" t="s">
        <v>97</v>
      </c>
      <c r="C87" s="4">
        <v>81384.920000000013</v>
      </c>
      <c r="D87" s="4">
        <v>3680.309999999999</v>
      </c>
      <c r="E87" s="4" t="b">
        <f t="shared" si="8"/>
        <v>0</v>
      </c>
      <c r="G87" s="13" t="s">
        <v>51</v>
      </c>
      <c r="H87">
        <v>114007.74</v>
      </c>
      <c r="K87" s="18" t="s">
        <v>142</v>
      </c>
      <c r="L87">
        <v>8</v>
      </c>
    </row>
    <row r="88" spans="2:12" x14ac:dyDescent="0.3">
      <c r="B88" s="5"/>
      <c r="C88" s="5"/>
      <c r="D88" s="5"/>
      <c r="G88" s="13" t="s">
        <v>133</v>
      </c>
      <c r="H88">
        <v>1071473.2499999998</v>
      </c>
      <c r="K88" s="13" t="s">
        <v>133</v>
      </c>
      <c r="L88">
        <v>4.5</v>
      </c>
    </row>
    <row r="89" spans="2:12" x14ac:dyDescent="0.3">
      <c r="B89" s="5"/>
      <c r="C89" s="5"/>
      <c r="D89" s="5"/>
    </row>
    <row r="90" spans="2:12" x14ac:dyDescent="0.3">
      <c r="B90" s="5"/>
      <c r="C90" s="5"/>
      <c r="D90" s="5"/>
    </row>
    <row r="93" spans="2:12" x14ac:dyDescent="0.3">
      <c r="B93" t="s">
        <v>105</v>
      </c>
    </row>
    <row r="95" spans="2:12" x14ac:dyDescent="0.3">
      <c r="B95" s="4" t="s">
        <v>103</v>
      </c>
      <c r="C95" s="4" t="s">
        <v>104</v>
      </c>
      <c r="D95" s="5"/>
      <c r="E95" t="s">
        <v>119</v>
      </c>
      <c r="H95" t="s">
        <v>127</v>
      </c>
    </row>
    <row r="96" spans="2:12" x14ac:dyDescent="0.3">
      <c r="B96" s="11" t="s">
        <v>46</v>
      </c>
      <c r="C96" s="4" t="str">
        <f>VLOOKUP(B96,'拌客源数据1-8月'!D:E,2,0)</f>
        <v>宝山店</v>
      </c>
      <c r="D96" s="5"/>
      <c r="E96" s="4" t="s">
        <v>120</v>
      </c>
      <c r="F96" s="4" t="s">
        <v>115</v>
      </c>
      <c r="H96" s="4" t="s">
        <v>121</v>
      </c>
      <c r="I96" s="4" t="s">
        <v>122</v>
      </c>
    </row>
    <row r="97" spans="2:10" x14ac:dyDescent="0.3">
      <c r="B97" s="11" t="s">
        <v>47</v>
      </c>
      <c r="C97" s="4" t="str">
        <f>VLOOKUP(B97,'拌客源数据1-8月'!D:E,2,0)</f>
        <v>五角场店</v>
      </c>
      <c r="D97" s="5"/>
      <c r="E97" s="4" t="s">
        <v>126</v>
      </c>
      <c r="F97" s="4">
        <v>1</v>
      </c>
      <c r="H97" s="4" t="s">
        <v>112</v>
      </c>
      <c r="I97" s="4">
        <f>VLOOKUP(H97&amp;"*",E96:F104,2,0)</f>
        <v>1</v>
      </c>
    </row>
    <row r="98" spans="2:10" x14ac:dyDescent="0.3">
      <c r="B98" s="11" t="s">
        <v>44</v>
      </c>
      <c r="C98" s="4" t="str">
        <f>VLOOKUP(B98,'拌客源数据1-8月'!D:E,2,0)</f>
        <v>龙阳广场店</v>
      </c>
      <c r="D98" s="5"/>
      <c r="E98" s="4" t="s">
        <v>124</v>
      </c>
      <c r="F98" s="4">
        <v>2</v>
      </c>
    </row>
    <row r="99" spans="2:10" x14ac:dyDescent="0.3">
      <c r="B99" s="11" t="s">
        <v>45</v>
      </c>
      <c r="C99" s="4" t="str">
        <f>VLOOKUP(B99,'拌客源数据1-8月'!D:E,2,0)</f>
        <v>五角场店</v>
      </c>
      <c r="D99" s="5"/>
      <c r="E99" s="4" t="s">
        <v>123</v>
      </c>
      <c r="F99" s="4">
        <v>3</v>
      </c>
      <c r="H99" t="s">
        <v>125</v>
      </c>
    </row>
    <row r="100" spans="2:10" x14ac:dyDescent="0.3">
      <c r="B100" s="11" t="s">
        <v>48</v>
      </c>
      <c r="C100" s="4" t="str">
        <f>VLOOKUP(B100,'拌客源数据1-8月'!D:E,2,0)</f>
        <v>怒江路店</v>
      </c>
      <c r="D100" s="5"/>
      <c r="E100" s="4" t="s">
        <v>135</v>
      </c>
      <c r="F100" s="4">
        <v>4</v>
      </c>
      <c r="H100" s="4" t="s">
        <v>113</v>
      </c>
      <c r="I100" s="4">
        <f>VLOOKUP(H100&amp;"??",E96:F104,2,0)</f>
        <v>7</v>
      </c>
    </row>
    <row r="101" spans="2:10" x14ac:dyDescent="0.3">
      <c r="B101" s="11" t="s">
        <v>49</v>
      </c>
      <c r="C101" s="4" t="str">
        <f>VLOOKUP(B101,'拌客源数据1-8月'!D:E,2,0)</f>
        <v>宝山店</v>
      </c>
      <c r="D101" s="5"/>
      <c r="E101" s="4" t="s">
        <v>136</v>
      </c>
      <c r="F101" s="4">
        <v>5</v>
      </c>
    </row>
    <row r="102" spans="2:10" x14ac:dyDescent="0.3">
      <c r="B102" s="11" t="s">
        <v>50</v>
      </c>
      <c r="C102" s="4" t="str">
        <f>VLOOKUP(B102,'拌客源数据1-8月'!D:E,2,0)</f>
        <v>拌客干拌麻辣烫(武宁路店)</v>
      </c>
      <c r="D102" s="5"/>
      <c r="E102" s="4" t="s">
        <v>117</v>
      </c>
      <c r="F102" s="4">
        <v>6</v>
      </c>
    </row>
    <row r="103" spans="2:10" x14ac:dyDescent="0.3">
      <c r="B103" s="11" t="s">
        <v>51</v>
      </c>
      <c r="C103" s="4" t="str">
        <f>VLOOKUP(B103,'拌客源数据1-8月'!D:E,2,0)</f>
        <v>拌客干拌麻辣烫(武宁路店)</v>
      </c>
      <c r="D103" s="5"/>
      <c r="E103" s="4" t="s">
        <v>118</v>
      </c>
      <c r="F103" s="4">
        <v>7</v>
      </c>
    </row>
    <row r="104" spans="2:10" x14ac:dyDescent="0.3">
      <c r="B104" s="12"/>
      <c r="C104" s="5"/>
      <c r="D104" s="5"/>
      <c r="E104" s="4" t="s">
        <v>147</v>
      </c>
      <c r="F104" s="4">
        <v>8</v>
      </c>
    </row>
    <row r="105" spans="2:10" x14ac:dyDescent="0.3">
      <c r="B105" s="12"/>
      <c r="C105" s="5"/>
      <c r="D105" s="5"/>
      <c r="E105" s="5"/>
      <c r="F105" s="5"/>
      <c r="G105" s="5"/>
    </row>
    <row r="106" spans="2:10" x14ac:dyDescent="0.3">
      <c r="B106" s="12"/>
      <c r="C106" s="5"/>
      <c r="D106" s="5"/>
      <c r="E106" s="5"/>
      <c r="F106" s="5"/>
      <c r="G106" s="5"/>
    </row>
    <row r="109" spans="2:10" x14ac:dyDescent="0.3">
      <c r="B109" t="s">
        <v>130</v>
      </c>
    </row>
    <row r="111" spans="2:10" x14ac:dyDescent="0.3">
      <c r="B111" s="24" t="s">
        <v>11</v>
      </c>
      <c r="C111" s="25"/>
      <c r="D111" s="4" t="s">
        <v>103</v>
      </c>
      <c r="E111" s="4" t="s">
        <v>128</v>
      </c>
      <c r="F111" s="4" t="s">
        <v>129</v>
      </c>
      <c r="G111" s="4" t="s">
        <v>55</v>
      </c>
      <c r="H111" s="4" t="s">
        <v>74</v>
      </c>
      <c r="I111" s="4" t="s">
        <v>75</v>
      </c>
      <c r="J111" s="5"/>
    </row>
    <row r="112" spans="2:10" x14ac:dyDescent="0.3">
      <c r="B112" s="20" t="s">
        <v>29</v>
      </c>
      <c r="C112" s="21"/>
      <c r="D112" s="4" t="str">
        <f>INDEX('拌客源数据1-8月'!$A:$X,MATCH($B112,'拌客源数据1-8月'!$I:$I,0), MATCH(D$111,'拌客源数据1-8月'!$1:$1,0))</f>
        <v>2001104355</v>
      </c>
      <c r="E112" s="4" t="str">
        <f>INDEX('拌客源数据1-8月'!$A:$X,MATCH($B112,'拌客源数据1-8月'!$I:$I,0), MATCH(E$111,'拌客源数据1-8月'!$1:$1,0))</f>
        <v>蛙小辣火锅杯（总账号）</v>
      </c>
      <c r="F112" s="4">
        <f>INDEX('拌客源数据1-8月'!$A:$X,MATCH($B112,'拌客源数据1-8月'!$I:$I,0), MATCH(F$111,'拌客源数据1-8月'!$1:$1,0))</f>
        <v>4636</v>
      </c>
      <c r="G112" s="4">
        <f>SUMIFS(INDEX('拌客源数据1-8月'!$A:$X,0,MATCH(G$111,'拌客源数据1-8月'!$1:$1,0)),'拌客源数据1-8月'!$I:$I,$B112)</f>
        <v>116343.26000000004</v>
      </c>
      <c r="H112" s="4">
        <f>SUMIFS(INDEX('拌客源数据1-8月'!$A:$X,0,MATCH(H$111,'拌客源数据1-8月'!$1:$1,0)),'拌客源数据1-8月'!$I:$I,$B112)</f>
        <v>11204</v>
      </c>
      <c r="I112" s="4">
        <f>SUMIFS(INDEX('拌客源数据1-8月'!$A:$X,0,MATCH(I$111,'拌客源数据1-8月'!$1:$1,0)),'拌客源数据1-8月'!$I:$I,$B112)</f>
        <v>1646</v>
      </c>
      <c r="J112" s="5"/>
    </row>
    <row r="113" spans="2:10" x14ac:dyDescent="0.3">
      <c r="B113" s="20" t="s">
        <v>23</v>
      </c>
      <c r="C113" s="21"/>
      <c r="D113" s="4" t="str">
        <f>INDEX('拌客源数据1-8月'!$A:$X,MATCH($B113,'拌客源数据1-8月'!$I:$I,0), MATCH(D$111,'拌客源数据1-8月'!$1:$1,0))</f>
        <v>8184590</v>
      </c>
      <c r="E113" s="4" t="str">
        <f>INDEX('拌客源数据1-8月'!$A:$X,MATCH($B113,'拌客源数据1-8月'!$I:$I,0), MATCH(E$111,'拌客源数据1-8月'!$1:$1,0))</f>
        <v>蛙小辣火锅杯（总账号）</v>
      </c>
      <c r="F113" s="4">
        <f>INDEX('拌客源数据1-8月'!$A:$X,MATCH($B113,'拌客源数据1-8月'!$I:$I,0), MATCH(F$111,'拌客源数据1-8月'!$1:$1,0))</f>
        <v>4636</v>
      </c>
      <c r="G113" s="4">
        <f>SUMIFS(INDEX('拌客源数据1-8月'!$A:$X,0,MATCH(G$111,'拌客源数据1-8月'!$1:$1,0)),'拌客源数据1-8月'!$I:$I,$B113)</f>
        <v>6787.9800000000005</v>
      </c>
      <c r="H113" s="4">
        <f>SUMIFS(INDEX('拌客源数据1-8月'!$A:$X,0,MATCH(H$111,'拌客源数据1-8月'!$1:$1,0)),'拌客源数据1-8月'!$I:$I,$B113)</f>
        <v>775</v>
      </c>
      <c r="I113" s="4">
        <f>SUMIFS(INDEX('拌客源数据1-8月'!$A:$X,0,MATCH(I$111,'拌客源数据1-8月'!$1:$1,0)),'拌客源数据1-8月'!$I:$I,$B113)</f>
        <v>113</v>
      </c>
      <c r="J113" s="5"/>
    </row>
    <row r="114" spans="2:10" x14ac:dyDescent="0.3">
      <c r="B114" s="20" t="s">
        <v>32</v>
      </c>
      <c r="C114" s="21"/>
      <c r="D114" s="4" t="str">
        <f>INDEX('拌客源数据1-8月'!$A:$X,MATCH($B114,'拌客源数据1-8月'!$I:$I,0), MATCH(D$111,'拌客源数据1-8月'!$1:$1,0))</f>
        <v>305225345</v>
      </c>
      <c r="E114" s="4" t="str">
        <f>INDEX('拌客源数据1-8月'!$A:$X,MATCH($B114,'拌客源数据1-8月'!$I:$I,0), MATCH(E$111,'拌客源数据1-8月'!$1:$1,0))</f>
        <v>蛙小辣火锅杯（总账号）</v>
      </c>
      <c r="F114" s="4">
        <f>INDEX('拌客源数据1-8月'!$A:$X,MATCH($B114,'拌客源数据1-8月'!$I:$I,0), MATCH(F$111,'拌客源数据1-8月'!$1:$1,0))</f>
        <v>4636</v>
      </c>
      <c r="G114" s="4">
        <f>SUMIFS(INDEX('拌客源数据1-8月'!$A:$X,0,MATCH(G$111,'拌客源数据1-8月'!$1:$1,0)),'拌客源数据1-8月'!$I:$I,$B114)</f>
        <v>6452.04</v>
      </c>
      <c r="H114" s="4">
        <f>SUMIFS(INDEX('拌客源数据1-8月'!$A:$X,0,MATCH(H$111,'拌客源数据1-8月'!$1:$1,0)),'拌客源数据1-8月'!$I:$I,$B114)</f>
        <v>590</v>
      </c>
      <c r="I114" s="4">
        <f>SUMIFS(INDEX('拌客源数据1-8月'!$A:$X,0,MATCH(I$111,'拌客源数据1-8月'!$1:$1,0)),'拌客源数据1-8月'!$I:$I,$B114)</f>
        <v>108</v>
      </c>
      <c r="J114" s="5"/>
    </row>
    <row r="115" spans="2:10" x14ac:dyDescent="0.3">
      <c r="B115" s="20" t="s">
        <v>30</v>
      </c>
      <c r="C115" s="21"/>
      <c r="D115" s="4" t="str">
        <f>INDEX('拌客源数据1-8月'!$A:$X,MATCH($B115,'拌客源数据1-8月'!$I:$I,0), MATCH(D$111,'拌客源数据1-8月'!$1:$1,0))</f>
        <v>2000507076</v>
      </c>
      <c r="E115" s="4" t="str">
        <f>INDEX('拌客源数据1-8月'!$A:$X,MATCH($B115,'拌客源数据1-8月'!$I:$I,0), MATCH(E$111,'拌客源数据1-8月'!$1:$1,0))</f>
        <v>蛙小辣火锅杯（总账号）</v>
      </c>
      <c r="F115" s="4">
        <f>INDEX('拌客源数据1-8月'!$A:$X,MATCH($B115,'拌客源数据1-8月'!$I:$I,0), MATCH(F$111,'拌客源数据1-8月'!$1:$1,0))</f>
        <v>4636</v>
      </c>
      <c r="G115" s="4">
        <f>SUMIFS(INDEX('拌客源数据1-8月'!$A:$X,0,MATCH(G$111,'拌客源数据1-8月'!$1:$1,0)),'拌客源数据1-8月'!$I:$I,$B115)</f>
        <v>33744.82</v>
      </c>
      <c r="H115" s="4">
        <f>SUMIFS(INDEX('拌客源数据1-8月'!$A:$X,0,MATCH(H$111,'拌客源数据1-8月'!$1:$1,0)),'拌客源数据1-8月'!$I:$I,$B115)</f>
        <v>2490</v>
      </c>
      <c r="I115" s="4">
        <f>SUMIFS(INDEX('拌客源数据1-8月'!$A:$X,0,MATCH(I$111,'拌客源数据1-8月'!$1:$1,0)),'拌客源数据1-8月'!$I:$I,$B115)</f>
        <v>512</v>
      </c>
      <c r="J115" s="5"/>
    </row>
    <row r="116" spans="2:10" x14ac:dyDescent="0.3">
      <c r="B116" s="20" t="s">
        <v>25</v>
      </c>
      <c r="C116" s="21"/>
      <c r="D116" s="4" t="str">
        <f>INDEX('拌客源数据1-8月'!$A:$X,MATCH($B116,'拌客源数据1-8月'!$I:$I,0), MATCH(D$111,'拌客源数据1-8月'!$1:$1,0))</f>
        <v>8106681</v>
      </c>
      <c r="E116" s="4" t="str">
        <f>INDEX('拌客源数据1-8月'!$A:$X,MATCH($B116,'拌客源数据1-8月'!$I:$I,0), MATCH(E$111,'拌客源数据1-8月'!$1:$1,0))</f>
        <v>蛙小辣火锅杯（总账号）</v>
      </c>
      <c r="F116" s="4">
        <f>INDEX('拌客源数据1-8月'!$A:$X,MATCH($B116,'拌客源数据1-8月'!$I:$I,0), MATCH(F$111,'拌客源数据1-8月'!$1:$1,0))</f>
        <v>4636</v>
      </c>
      <c r="G116" s="4">
        <f>SUMIFS(INDEX('拌客源数据1-8月'!$A:$X,0,MATCH(G$111,'拌客源数据1-8月'!$1:$1,0)),'拌客源数据1-8月'!$I:$I,$B116)</f>
        <v>4313.57</v>
      </c>
      <c r="H116" s="4">
        <f>SUMIFS(INDEX('拌客源数据1-8月'!$A:$X,0,MATCH(H$111,'拌客源数据1-8月'!$1:$1,0)),'拌客源数据1-8月'!$I:$I,$B116)</f>
        <v>367</v>
      </c>
      <c r="I116" s="4">
        <f>SUMIFS(INDEX('拌客源数据1-8月'!$A:$X,0,MATCH(I$111,'拌客源数据1-8月'!$1:$1,0)),'拌客源数据1-8月'!$I:$I,$B116)</f>
        <v>66</v>
      </c>
      <c r="J116" s="5"/>
    </row>
    <row r="117" spans="2:10" x14ac:dyDescent="0.3">
      <c r="B117" s="20" t="s">
        <v>34</v>
      </c>
      <c r="C117" s="21"/>
      <c r="D117" s="4" t="str">
        <f>INDEX('拌客源数据1-8月'!$A:$X,MATCH($B117,'拌客源数据1-8月'!$I:$I,0), MATCH(D$111,'拌客源数据1-8月'!$1:$1,0))</f>
        <v>8491999</v>
      </c>
      <c r="E117" s="4" t="str">
        <f>INDEX('拌客源数据1-8月'!$A:$X,MATCH($B117,'拌客源数据1-8月'!$I:$I,0), MATCH(E$111,'拌客源数据1-8月'!$1:$1,0))</f>
        <v>蛙小辣火锅杯（总账号）</v>
      </c>
      <c r="F117" s="4">
        <f>INDEX('拌客源数据1-8月'!$A:$X,MATCH($B117,'拌客源数据1-8月'!$I:$I,0), MATCH(F$111,'拌客源数据1-8月'!$1:$1,0))</f>
        <v>4636</v>
      </c>
      <c r="G117" s="4">
        <f>SUMIFS(INDEX('拌客源数据1-8月'!$A:$X,0,MATCH(G$111,'拌客源数据1-8月'!$1:$1,0)),'拌客源数据1-8月'!$I:$I,$B117)</f>
        <v>169975.03999999998</v>
      </c>
      <c r="H117" s="4">
        <f>SUMIFS(INDEX('拌客源数据1-8月'!$A:$X,0,MATCH(H$111,'拌客源数据1-8月'!$1:$1,0)),'拌客源数据1-8月'!$I:$I,$B117)</f>
        <v>15813</v>
      </c>
      <c r="I117" s="4">
        <f>SUMIFS(INDEX('拌客源数据1-8月'!$A:$X,0,MATCH(I$111,'拌客源数据1-8月'!$1:$1,0)),'拌客源数据1-8月'!$I:$I,$B117)</f>
        <v>2969</v>
      </c>
      <c r="J117" s="5"/>
    </row>
    <row r="118" spans="2:10" x14ac:dyDescent="0.3">
      <c r="B118" s="20" t="s">
        <v>33</v>
      </c>
      <c r="C118" s="21"/>
      <c r="D118" s="4" t="str">
        <f>INDEX('拌客源数据1-8月'!$A:$X,MATCH($B118,'拌客源数据1-8月'!$I:$I,0), MATCH(D$111,'拌客源数据1-8月'!$1:$1,0))</f>
        <v>8184590</v>
      </c>
      <c r="E118" s="4" t="str">
        <f>INDEX('拌客源数据1-8月'!$A:$X,MATCH($B118,'拌客源数据1-8月'!$I:$I,0), MATCH(E$111,'拌客源数据1-8月'!$1:$1,0))</f>
        <v>蛙小辣火锅杯（总账号）</v>
      </c>
      <c r="F118" s="4">
        <f>INDEX('拌客源数据1-8月'!$A:$X,MATCH($B118,'拌客源数据1-8月'!$I:$I,0), MATCH(F$111,'拌客源数据1-8月'!$1:$1,0))</f>
        <v>4636</v>
      </c>
      <c r="G118" s="4">
        <f>SUMIFS(INDEX('拌客源数据1-8月'!$A:$X,0,MATCH(G$111,'拌客源数据1-8月'!$1:$1,0)),'拌客源数据1-8月'!$I:$I,$B118)</f>
        <v>9368.7099999999973</v>
      </c>
      <c r="H118" s="4">
        <f>SUMIFS(INDEX('拌客源数据1-8月'!$A:$X,0,MATCH(H$111,'拌客源数据1-8月'!$1:$1,0)),'拌客源数据1-8月'!$I:$I,$B118)</f>
        <v>791</v>
      </c>
      <c r="I118" s="4">
        <f>SUMIFS(INDEX('拌客源数据1-8月'!$A:$X,0,MATCH(I$111,'拌客源数据1-8月'!$1:$1,0)),'拌客源数据1-8月'!$I:$I,$B118)</f>
        <v>154</v>
      </c>
      <c r="J118" s="5"/>
    </row>
    <row r="119" spans="2:10" x14ac:dyDescent="0.3">
      <c r="B119" s="20" t="s">
        <v>35</v>
      </c>
      <c r="C119" s="21"/>
      <c r="D119" s="4" t="str">
        <f>INDEX('拌客源数据1-8月'!$A:$X,MATCH($B119,'拌客源数据1-8月'!$I:$I,0), MATCH(D$111,'拌客源数据1-8月'!$1:$1,0))</f>
        <v>2000507076</v>
      </c>
      <c r="E119" s="4" t="str">
        <f>INDEX('拌客源数据1-8月'!$A:$X,MATCH($B119,'拌客源数据1-8月'!$I:$I,0), MATCH(E$111,'拌客源数据1-8月'!$1:$1,0))</f>
        <v>蛙小辣火锅杯（总账号）</v>
      </c>
      <c r="F119" s="4">
        <f>INDEX('拌客源数据1-8月'!$A:$X,MATCH($B119,'拌客源数据1-8月'!$I:$I,0), MATCH(F$111,'拌客源数据1-8月'!$1:$1,0))</f>
        <v>4636</v>
      </c>
      <c r="G119" s="4">
        <f>SUMIFS(INDEX('拌客源数据1-8月'!$A:$X,0,MATCH(G$111,'拌客源数据1-8月'!$1:$1,0)),'拌客源数据1-8月'!$I:$I,$B119)</f>
        <v>784.71</v>
      </c>
      <c r="H119" s="4">
        <f>SUMIFS(INDEX('拌客源数据1-8月'!$A:$X,0,MATCH(H$111,'拌客源数据1-8月'!$1:$1,0)),'拌客源数据1-8月'!$I:$I,$B119)</f>
        <v>48</v>
      </c>
      <c r="I119" s="4">
        <f>SUMIFS(INDEX('拌客源数据1-8月'!$A:$X,0,MATCH(I$111,'拌客源数据1-8月'!$1:$1,0)),'拌客源数据1-8月'!$I:$I,$B119)</f>
        <v>11</v>
      </c>
      <c r="J119" s="5"/>
    </row>
    <row r="120" spans="2:10" x14ac:dyDescent="0.3">
      <c r="B120" s="20" t="s">
        <v>36</v>
      </c>
      <c r="C120" s="21"/>
      <c r="D120" s="4" t="str">
        <f>INDEX('拌客源数据1-8月'!$A:$X,MATCH($B120,'拌客源数据1-8月'!$I:$I,0), MATCH(D$111,'拌客源数据1-8月'!$1:$1,0))</f>
        <v>2000507076</v>
      </c>
      <c r="E120" s="4" t="str">
        <f>INDEX('拌客源数据1-8月'!$A:$X,MATCH($B120,'拌客源数据1-8月'!$I:$I,0), MATCH(E$111,'拌客源数据1-8月'!$1:$1,0))</f>
        <v>蛙小辣火锅杯（总账号）</v>
      </c>
      <c r="F120" s="4">
        <f>INDEX('拌客源数据1-8月'!$A:$X,MATCH($B120,'拌客源数据1-8月'!$I:$I,0), MATCH(F$111,'拌客源数据1-8月'!$1:$1,0))</f>
        <v>4636</v>
      </c>
      <c r="G120" s="4">
        <f>SUMIFS(INDEX('拌客源数据1-8月'!$A:$X,0,MATCH(G$111,'拌客源数据1-8月'!$1:$1,0)),'拌客源数据1-8月'!$I:$I,$B120)</f>
        <v>11932.99</v>
      </c>
      <c r="H120" s="4">
        <f>SUMIFS(INDEX('拌客源数据1-8月'!$A:$X,0,MATCH(H$111,'拌客源数据1-8月'!$1:$1,0)),'拌客源数据1-8月'!$I:$I,$B120)</f>
        <v>699</v>
      </c>
      <c r="I120" s="4">
        <f>SUMIFS(INDEX('拌客源数据1-8月'!$A:$X,0,MATCH(I$111,'拌客源数据1-8月'!$1:$1,0)),'拌客源数据1-8月'!$I:$I,$B120)</f>
        <v>167</v>
      </c>
      <c r="J120" s="5"/>
    </row>
    <row r="121" spans="2:10" x14ac:dyDescent="0.3">
      <c r="B121" s="20" t="s">
        <v>37</v>
      </c>
      <c r="C121" s="21"/>
      <c r="D121" s="4" t="str">
        <f>INDEX('拌客源数据1-8月'!$A:$X,MATCH($B121,'拌客源数据1-8月'!$I:$I,0), MATCH(D$111,'拌客源数据1-8月'!$1:$1,0))</f>
        <v>2001104355</v>
      </c>
      <c r="E121" s="4" t="str">
        <f>INDEX('拌客源数据1-8月'!$A:$X,MATCH($B121,'拌客源数据1-8月'!$I:$I,0), MATCH(E$111,'拌客源数据1-8月'!$1:$1,0))</f>
        <v>蛙小辣火锅杯（总账号）</v>
      </c>
      <c r="F121" s="4">
        <f>INDEX('拌客源数据1-8月'!$A:$X,MATCH($B121,'拌客源数据1-8月'!$I:$I,0), MATCH(F$111,'拌客源数据1-8月'!$1:$1,0))</f>
        <v>4636</v>
      </c>
      <c r="G121" s="4">
        <f>SUMIFS(INDEX('拌客源数据1-8月'!$A:$X,0,MATCH(G$111,'拌客源数据1-8月'!$1:$1,0)),'拌客源数据1-8月'!$I:$I,$B121)</f>
        <v>157511.31999999995</v>
      </c>
      <c r="H121" s="4">
        <f>SUMIFS(INDEX('拌客源数据1-8月'!$A:$X,0,MATCH(H$111,'拌客源数据1-8月'!$1:$1,0)),'拌客源数据1-8月'!$I:$I,$B121)</f>
        <v>10924</v>
      </c>
      <c r="I121" s="4">
        <f>SUMIFS(INDEX('拌客源数据1-8月'!$A:$X,0,MATCH(I$111,'拌客源数据1-8月'!$1:$1,0)),'拌客源数据1-8月'!$I:$I,$B121)</f>
        <v>2362</v>
      </c>
      <c r="J121" s="5"/>
    </row>
    <row r="122" spans="2:10" x14ac:dyDescent="0.3">
      <c r="B122" s="20" t="s">
        <v>38</v>
      </c>
      <c r="C122" s="21"/>
      <c r="D122" s="4" t="str">
        <f>INDEX('拌客源数据1-8月'!$A:$X,MATCH($B122,'拌客源数据1-8月'!$I:$I,0), MATCH(D$111,'拌客源数据1-8月'!$1:$1,0))</f>
        <v>2000507076</v>
      </c>
      <c r="E122" s="4" t="str">
        <f>INDEX('拌客源数据1-8月'!$A:$X,MATCH($B122,'拌客源数据1-8月'!$I:$I,0), MATCH(E$111,'拌客源数据1-8月'!$1:$1,0))</f>
        <v>蛙小辣火锅杯（总账号）</v>
      </c>
      <c r="F122" s="4">
        <f>INDEX('拌客源数据1-8月'!$A:$X,MATCH($B122,'拌客源数据1-8月'!$I:$I,0), MATCH(F$111,'拌客源数据1-8月'!$1:$1,0))</f>
        <v>4636</v>
      </c>
      <c r="G122" s="4">
        <f>SUMIFS(INDEX('拌客源数据1-8月'!$A:$X,0,MATCH(G$111,'拌客源数据1-8月'!$1:$1,0)),'拌客源数据1-8月'!$I:$I,$B122)</f>
        <v>13823.480000000001</v>
      </c>
      <c r="H122" s="4">
        <f>SUMIFS(INDEX('拌客源数据1-8月'!$A:$X,0,MATCH(H$111,'拌客源数据1-8月'!$1:$1,0)),'拌客源数据1-8月'!$I:$I,$B122)</f>
        <v>849</v>
      </c>
      <c r="I122" s="4">
        <f>SUMIFS(INDEX('拌客源数据1-8月'!$A:$X,0,MATCH(I$111,'拌客源数据1-8月'!$1:$1,0)),'拌客源数据1-8月'!$I:$I,$B122)</f>
        <v>205</v>
      </c>
      <c r="J122" s="5"/>
    </row>
    <row r="123" spans="2:10" x14ac:dyDescent="0.3">
      <c r="B123" s="20" t="s">
        <v>39</v>
      </c>
      <c r="C123" s="21"/>
      <c r="D123" s="4" t="str">
        <f>INDEX('拌客源数据1-8月'!$A:$X,MATCH($B123,'拌客源数据1-8月'!$I:$I,0), MATCH(D$111,'拌客源数据1-8月'!$1:$1,0))</f>
        <v>8184590</v>
      </c>
      <c r="E123" s="4" t="str">
        <f>INDEX('拌客源数据1-8月'!$A:$X,MATCH($B123,'拌客源数据1-8月'!$I:$I,0), MATCH(E$111,'拌客源数据1-8月'!$1:$1,0))</f>
        <v>蛙小辣火锅杯（总账号）</v>
      </c>
      <c r="F123" s="4">
        <f>INDEX('拌客源数据1-8月'!$A:$X,MATCH($B123,'拌客源数据1-8月'!$I:$I,0), MATCH(F$111,'拌客源数据1-8月'!$1:$1,0))</f>
        <v>4636</v>
      </c>
      <c r="G123" s="4">
        <f>SUMIFS(INDEX('拌客源数据1-8月'!$A:$X,0,MATCH(G$111,'拌客源数据1-8月'!$1:$1,0)),'拌客源数据1-8月'!$I:$I,$B123)</f>
        <v>682.13</v>
      </c>
      <c r="H123" s="4">
        <f>SUMIFS(INDEX('拌客源数据1-8月'!$A:$X,0,MATCH(H$111,'拌客源数据1-8月'!$1:$1,0)),'拌客源数据1-8月'!$I:$I,$B123)</f>
        <v>45</v>
      </c>
      <c r="I123" s="4">
        <f>SUMIFS(INDEX('拌客源数据1-8月'!$A:$X,0,MATCH(I$111,'拌客源数据1-8月'!$1:$1,0)),'拌客源数据1-8月'!$I:$I,$B123)</f>
        <v>8</v>
      </c>
      <c r="J123" s="5"/>
    </row>
    <row r="124" spans="2:10" x14ac:dyDescent="0.3">
      <c r="B124" s="20" t="s">
        <v>41</v>
      </c>
      <c r="C124" s="21"/>
      <c r="D124" s="4" t="str">
        <f>INDEX('拌客源数据1-8月'!$A:$X,MATCH($B124,'拌客源数据1-8月'!$I:$I,0), MATCH(D$111,'拌客源数据1-8月'!$1:$1,0))</f>
        <v>337460136</v>
      </c>
      <c r="E124" s="4" t="str">
        <f>INDEX('拌客源数据1-8月'!$A:$X,MATCH($B124,'拌客源数据1-8月'!$I:$I,0), MATCH(E$111,'拌客源数据1-8月'!$1:$1,0))</f>
        <v>拌客（武宁路店）</v>
      </c>
      <c r="F124" s="4">
        <f>INDEX('拌客源数据1-8月'!$A:$X,MATCH($B124,'拌客源数据1-8月'!$I:$I,0), MATCH(F$111,'拌客源数据1-8月'!$1:$1,0))</f>
        <v>6108</v>
      </c>
      <c r="G124" s="4">
        <f>SUMIFS(INDEX('拌客源数据1-8月'!$A:$X,0,MATCH(G$111,'拌客源数据1-8月'!$1:$1,0)),'拌客源数据1-8月'!$I:$I,$B124)</f>
        <v>3913.76</v>
      </c>
      <c r="H124" s="4">
        <f>SUMIFS(INDEX('拌客源数据1-8月'!$A:$X,0,MATCH(H$111,'拌客源数据1-8月'!$1:$1,0)),'拌客源数据1-8月'!$I:$I,$B124)</f>
        <v>441</v>
      </c>
      <c r="I124" s="4">
        <f>SUMIFS(INDEX('拌客源数据1-8月'!$A:$X,0,MATCH(I$111,'拌客源数据1-8月'!$1:$1,0)),'拌客源数据1-8月'!$I:$I,$B124)</f>
        <v>72</v>
      </c>
      <c r="J124" s="5"/>
    </row>
    <row r="125" spans="2:10" x14ac:dyDescent="0.3">
      <c r="B125" s="20" t="s">
        <v>42</v>
      </c>
      <c r="C125" s="21"/>
      <c r="D125" s="4" t="str">
        <f>INDEX('拌客源数据1-8月'!$A:$X,MATCH($B125,'拌客源数据1-8月'!$I:$I,0), MATCH(D$111,'拌客源数据1-8月'!$1:$1,0))</f>
        <v>337460136</v>
      </c>
      <c r="E125" s="4" t="str">
        <f>INDEX('拌客源数据1-8月'!$A:$X,MATCH($B125,'拌客源数据1-8月'!$I:$I,0), MATCH(E$111,'拌客源数据1-8月'!$1:$1,0))</f>
        <v>拌客（武宁路店）</v>
      </c>
      <c r="F125" s="4">
        <f>INDEX('拌客源数据1-8月'!$A:$X,MATCH($B125,'拌客源数据1-8月'!$I:$I,0), MATCH(F$111,'拌客源数据1-8月'!$1:$1,0))</f>
        <v>6108</v>
      </c>
      <c r="G125" s="4">
        <f>SUMIFS(INDEX('拌客源数据1-8月'!$A:$X,0,MATCH(G$111,'拌客源数据1-8月'!$1:$1,0)),'拌客源数据1-8月'!$I:$I,$B125)</f>
        <v>421831.69999999995</v>
      </c>
      <c r="H125" s="4">
        <f>SUMIFS(INDEX('拌客源数据1-8月'!$A:$X,0,MATCH(H$111,'拌客源数据1-8月'!$1:$1,0)),'拌客源数据1-8月'!$I:$I,$B125)</f>
        <v>31427</v>
      </c>
      <c r="I125" s="4">
        <f>SUMIFS(INDEX('拌客源数据1-8月'!$A:$X,0,MATCH(I$111,'拌客源数据1-8月'!$1:$1,0)),'拌客源数据1-8月'!$I:$I,$B125)</f>
        <v>8314</v>
      </c>
      <c r="J125" s="5"/>
    </row>
    <row r="126" spans="2:10" x14ac:dyDescent="0.3">
      <c r="B126" s="20" t="s">
        <v>43</v>
      </c>
      <c r="C126" s="21"/>
      <c r="D126" s="4" t="str">
        <f>INDEX('拌客源数据1-8月'!$A:$X,MATCH($B126,'拌客源数据1-8月'!$I:$I,0), MATCH(D$111,'拌客源数据1-8月'!$1:$1,0))</f>
        <v>9428110</v>
      </c>
      <c r="E126" s="4" t="str">
        <f>INDEX('拌客源数据1-8月'!$A:$X,MATCH($B126,'拌客源数据1-8月'!$I:$I,0), MATCH(E$111,'拌客源数据1-8月'!$1:$1,0))</f>
        <v>拌客（武宁路店）</v>
      </c>
      <c r="F126" s="4">
        <f>INDEX('拌客源数据1-8月'!$A:$X,MATCH($B126,'拌客源数据1-8月'!$I:$I,0), MATCH(F$111,'拌客源数据1-8月'!$1:$1,0))</f>
        <v>6108</v>
      </c>
      <c r="G126" s="4">
        <f>SUMIFS(INDEX('拌客源数据1-8月'!$A:$X,0,MATCH(G$111,'拌客源数据1-8月'!$1:$1,0)),'拌客源数据1-8月'!$I:$I,$B126)</f>
        <v>114007.74</v>
      </c>
      <c r="H126" s="4">
        <f>SUMIFS(INDEX('拌客源数据1-8月'!$A:$X,0,MATCH(H$111,'拌客源数据1-8月'!$1:$1,0)),'拌客源数据1-8月'!$I:$I,$B126)</f>
        <v>7867</v>
      </c>
      <c r="I126" s="4">
        <f>SUMIFS(INDEX('拌客源数据1-8月'!$A:$X,0,MATCH(I$111,'拌客源数据1-8月'!$1:$1,0)),'拌客源数据1-8月'!$I:$I,$B126)</f>
        <v>2329</v>
      </c>
      <c r="J126" s="5"/>
    </row>
    <row r="127" spans="2:10" x14ac:dyDescent="0.3">
      <c r="B127" s="13"/>
      <c r="C127" s="13"/>
      <c r="D127" s="5"/>
      <c r="E127" s="5"/>
      <c r="F127" s="5"/>
      <c r="G127" s="5"/>
    </row>
    <row r="128" spans="2:10" x14ac:dyDescent="0.3">
      <c r="B128" s="13"/>
      <c r="C128" s="13"/>
      <c r="D128" s="5"/>
      <c r="E128" s="5"/>
      <c r="F128" s="5"/>
      <c r="G128" s="5"/>
    </row>
    <row r="129" spans="2:7" x14ac:dyDescent="0.3">
      <c r="B129" s="13"/>
      <c r="C129" s="13"/>
      <c r="D129" s="5"/>
      <c r="E129" s="5"/>
      <c r="F129" s="5"/>
      <c r="G129" s="5"/>
    </row>
    <row r="130" spans="2:7" x14ac:dyDescent="0.3">
      <c r="B130" s="13"/>
      <c r="C130" s="13"/>
      <c r="D130" s="5"/>
      <c r="E130" s="5"/>
      <c r="F130" s="5"/>
      <c r="G130" s="5"/>
    </row>
    <row r="131" spans="2:7" x14ac:dyDescent="0.3">
      <c r="B131" s="13"/>
      <c r="C131" s="13"/>
      <c r="D131" s="5"/>
      <c r="E131" s="5"/>
      <c r="F131" s="5"/>
      <c r="G131" s="5"/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rgb="FFFFC000"/>
  </sheetPr>
  <dimension ref="A2:L35"/>
  <sheetViews>
    <sheetView showGridLines="0" topLeftCell="A2" zoomScale="55" workbookViewId="0">
      <selection activeCell="E37" sqref="E37"/>
    </sheetView>
  </sheetViews>
  <sheetFormatPr defaultRowHeight="16.5" x14ac:dyDescent="0.3"/>
  <cols>
    <col min="1" max="1" width="15.58203125" style="19" bestFit="1" customWidth="1"/>
    <col min="2" max="2" width="12.25" style="19" customWidth="1"/>
    <col min="3" max="3" width="11.83203125" style="19" customWidth="1"/>
    <col min="4" max="4" width="11.58203125" style="19" customWidth="1"/>
    <col min="5" max="6" width="12.33203125" style="19" customWidth="1"/>
    <col min="7" max="7" width="12.5" style="19" customWidth="1"/>
    <col min="8" max="8" width="11.08203125" style="19" customWidth="1"/>
  </cols>
  <sheetData>
    <row r="2" spans="4:12" ht="16.5" customHeight="1" x14ac:dyDescent="0.3"/>
    <row r="3" spans="4:12" ht="16.5" customHeight="1" x14ac:dyDescent="0.3"/>
    <row r="4" spans="4:12" ht="16.5" customHeight="1" x14ac:dyDescent="0.3">
      <c r="D4" s="26" t="s">
        <v>56</v>
      </c>
      <c r="E4" s="50">
        <f>D16</f>
        <v>44053</v>
      </c>
      <c r="F4" s="33" t="s">
        <v>77</v>
      </c>
      <c r="G4" s="50">
        <f>D22</f>
        <v>44059</v>
      </c>
      <c r="H4" s="33"/>
      <c r="I4" s="33"/>
      <c r="J4" s="33"/>
      <c r="K4" s="27"/>
    </row>
    <row r="5" spans="4:12" x14ac:dyDescent="0.3">
      <c r="D5" s="63" t="s">
        <v>57</v>
      </c>
      <c r="E5" s="64"/>
      <c r="F5" s="64"/>
      <c r="G5" s="64"/>
      <c r="H5" s="64"/>
      <c r="I5" s="64"/>
      <c r="J5" s="64"/>
      <c r="K5" s="65"/>
    </row>
    <row r="6" spans="4:12" x14ac:dyDescent="0.3">
      <c r="D6" s="63"/>
      <c r="E6" s="64"/>
      <c r="F6" s="64"/>
      <c r="G6" s="64"/>
      <c r="H6" s="64"/>
      <c r="I6" s="64"/>
      <c r="J6" s="64"/>
      <c r="K6" s="65"/>
    </row>
    <row r="7" spans="4:12" x14ac:dyDescent="0.3">
      <c r="D7" s="51" t="s">
        <v>58</v>
      </c>
      <c r="E7" s="52"/>
      <c r="F7" s="52"/>
      <c r="G7" s="52"/>
      <c r="H7" s="52"/>
      <c r="I7" s="52"/>
      <c r="J7" s="52"/>
      <c r="K7" s="29"/>
    </row>
    <row r="8" spans="4:12" x14ac:dyDescent="0.3">
      <c r="D8" s="53" t="s">
        <v>59</v>
      </c>
      <c r="E8" s="52"/>
      <c r="F8" s="54" t="s">
        <v>60</v>
      </c>
      <c r="G8" s="52"/>
      <c r="H8" s="54" t="s">
        <v>61</v>
      </c>
      <c r="I8" s="52"/>
      <c r="J8" s="26" t="s">
        <v>62</v>
      </c>
      <c r="K8" s="27" t="s">
        <v>154</v>
      </c>
    </row>
    <row r="9" spans="4:12" x14ac:dyDescent="0.3">
      <c r="D9" s="53">
        <f>F35</f>
        <v>16036</v>
      </c>
      <c r="E9" s="52"/>
      <c r="F9" s="55">
        <f>H35</f>
        <v>7.3584435021202294E-2</v>
      </c>
      <c r="G9" s="52"/>
      <c r="H9" s="55">
        <f>J35</f>
        <v>0.21271186440677967</v>
      </c>
      <c r="I9" s="52"/>
      <c r="J9" s="28" t="s">
        <v>63</v>
      </c>
      <c r="K9" s="29"/>
    </row>
    <row r="10" spans="4:12" x14ac:dyDescent="0.3">
      <c r="D10" s="51" t="s">
        <v>64</v>
      </c>
      <c r="E10" s="52"/>
      <c r="F10" s="52"/>
      <c r="G10" s="52"/>
      <c r="H10" s="52"/>
      <c r="I10" s="52"/>
      <c r="J10" s="48">
        <f>IF($K$8="全部",SUMIFS(INDEX('拌客源数据1-8月'!$A:$X,0,MATCH("GMV",'拌客源数据1-8月'!$A$1:$X$1,0)),INDEX('拌客源数据1-8月'!$A:$X,0,MATCH("日期",'拌客源数据1-8月'!$A$1:$X$1,0)),"&gt;="&amp;DATE(YEAR($D$16),MONTH($D$16),1),INDEX('拌客源数据1-8月'!$A:$X,0,MATCH("日期",'拌客源数据1-8月'!$A$1:$X$1,0)),"&lt;="&amp;$D$22),SUMIFS(INDEX('拌客源数据1-8月'!$A:$X,0,MATCH("GMV",'拌客源数据1-8月'!$A$1:$X$1,0)),INDEX('拌客源数据1-8月'!$A:$X,0,MATCH("日期",'拌客源数据1-8月'!$A$1:$X$1,0)),"&gt;="&amp;DATE(YEAR($D$16),MONTH($D$16),1),INDEX('拌客源数据1-8月'!$A:$X,0,MATCH("日期",'拌客源数据1-8月'!$A$1:$X$1,0)),"&lt;="&amp;$D$22,INDEX('拌客源数据1-8月'!$A:$X,0,MATCH("平台i",'拌客源数据1-8月'!$A$1:$X$1,0)),$K$8))/$K$11</f>
        <v>0.25984995000000005</v>
      </c>
      <c r="K10" s="49"/>
    </row>
    <row r="11" spans="4:12" x14ac:dyDescent="0.3">
      <c r="D11" s="53" t="s">
        <v>53</v>
      </c>
      <c r="E11" s="52"/>
      <c r="F11" s="54" t="s">
        <v>54</v>
      </c>
      <c r="G11" s="52"/>
      <c r="H11" s="54" t="s">
        <v>65</v>
      </c>
      <c r="I11" s="52"/>
      <c r="J11" s="30" t="s">
        <v>66</v>
      </c>
      <c r="K11" s="31">
        <f>IF($K$8="全部",200000,IF($K$8="美团",100000,50000))</f>
        <v>200000</v>
      </c>
    </row>
    <row r="12" spans="4:12" x14ac:dyDescent="0.3">
      <c r="D12" s="53">
        <f>IF($K$8="全部",SUMIFS(INDEX('拌客源数据1-8月'!$A:$X,0,MATCH($D$11,'拌客源数据1-8月'!$1:$1,0)),INDEX('拌客源数据1-8月'!$A:$X,0,MATCH($D$15,'拌客源数据1-8月'!$1:$1,0)),"&gt;="&amp;($D16),INDEX('拌客源数据1-8月'!$A:$X,0,MATCH($D$15,'拌客源数据1-8月'!$1:$1,0)),"&lt;="&amp;($D22)),SUMIFS(INDEX('拌客源数据1-8月'!$A:$X,0,MATCH($D$11,'拌客源数据1-8月'!$1:$1,0)),INDEX('拌客源数据1-8月'!$A:$X,0,MATCH($D$15,'拌客源数据1-8月'!$1:$1,0)),"&gt;="&amp;($D16),INDEX('拌客源数据1-8月'!$A:$X,0,MATCH($D$15,'拌客源数据1-8月'!$1:$1,0)),"&lt;="&amp;($D22),'拌客源数据1-8月'!$H:$H,$K$8))</f>
        <v>258</v>
      </c>
      <c r="E12" s="56">
        <f>IF($K$8="全部",SUMIFS(INDEX('拌客源数据1-8月'!$A:$X,0,MATCH($D$11,'拌客源数据1-8月'!$1:$1,0)),INDEX('拌客源数据1-8月'!$A:$X,0,MATCH($D$15,'拌客源数据1-8月'!$1:$1,0)),"&gt;="&amp;($D16),INDEX('拌客源数据1-8月'!$A:$X,0,MATCH($D$15,'拌客源数据1-8月'!$1:$1,0)),"&lt;="&amp;($D22)),SUMIFS(INDEX('拌客源数据1-8月'!$A:$X,0,MATCH($D$11,'拌客源数据1-8月'!$1:$1,0)),INDEX('拌客源数据1-8月'!$A:$X,0,MATCH($D$15,'拌客源数据1-8月'!$1:$1,0)),"&gt;="&amp;($D16),INDEX('拌客源数据1-8月'!$A:$X,0,MATCH($D$15,'拌客源数据1-8月'!$1:$1,0)),"&lt;="&amp;($D22),'拌客源数据1-8月'!$H:$H,$K$8))/IF($K$8="全部",SUMIFS(INDEX('拌客源数据1-8月'!$A:$X,0,MATCH($D$11,'拌客源数据1-8月'!$1:$1,0)),INDEX('拌客源数据1-8月'!$A:$X,0,MATCH($D$15,'拌客源数据1-8月'!$1:$1,0)),"&gt;="&amp;($D16-7),INDEX('拌客源数据1-8月'!$A:$X,0,MATCH($D$15,'拌客源数据1-8月'!$1:$1,0)),"&lt;="&amp;($D22-7)),SUMIFS(INDEX('拌客源数据1-8月'!$A:$X,0,MATCH($D$11,'拌客源数据1-8月'!$1:$1,0)),INDEX('拌客源数据1-8月'!$A:$X,0,MATCH($D$15,'拌客源数据1-8月'!$1:$1,0)),"&gt;="&amp;($D16-7),INDEX('拌客源数据1-8月'!$A:$X,0,MATCH($D$15,'拌客源数据1-8月'!$1:$1,0)),"&lt;="&amp;($D22-7),'拌客源数据1-8月'!$H:$H,$K$8))-1</f>
        <v>-0.33505154639175261</v>
      </c>
      <c r="F12" s="54">
        <f>IF($K$8="全部",SUMIFS(INDEX('拌客源数据1-8月'!$A:$X,0,MATCH($F$11,'拌客源数据1-8月'!$1:$1,0)),INDEX('拌客源数据1-8月'!$A:$X,0,MATCH($D$15,'拌客源数据1-8月'!$1:$1,0)),"&gt;="&amp;($D16),INDEX('拌客源数据1-8月'!$A:$X,0,MATCH($D$15,'拌客源数据1-8月'!$1:$1,0)),"&lt;="&amp;($D22)),SUMIFS(INDEX('拌客源数据1-8月'!$A:$X,0,MATCH($F$11,'拌客源数据1-8月'!$1:$1,0)),INDEX('拌客源数据1-8月'!$A:$X,0,MATCH($D$15,'拌客源数据1-8月'!$1:$1,0)),"&gt;="&amp;($D16),INDEX('拌客源数据1-8月'!$A:$X,0,MATCH($D$15,'拌客源数据1-8月'!$1:$1,0)),"&lt;="&amp;($D22),'拌客源数据1-8月'!$H:$H,$K$8))</f>
        <v>5417.5099999999993</v>
      </c>
      <c r="G12" s="56">
        <f>IF($K$8="全部",SUMIFS(INDEX('拌客源数据1-8月'!$A:$X,0,MATCH($F$11,'拌客源数据1-8月'!$1:$1,0)),INDEX('拌客源数据1-8月'!$A:$X,0,MATCH($D$15,'拌客源数据1-8月'!$1:$1,0)),"&gt;="&amp;($D16),INDEX('拌客源数据1-8月'!$A:$X,0,MATCH($D$15,'拌客源数据1-8月'!$1:$1,0)),"&lt;="&amp;($D22)),SUMIFS(INDEX('拌客源数据1-8月'!$A:$X,0,MATCH($F$11,'拌客源数据1-8月'!$1:$1,0)),INDEX('拌客源数据1-8月'!$A:$X,0,MATCH($D$15,'拌客源数据1-8月'!$1:$1,0)),"&gt;="&amp;($D16),INDEX('拌客源数据1-8月'!$A:$X,0,MATCH($D$15,'拌客源数据1-8月'!$1:$1,0)),"&lt;="&amp;($D22),'拌客源数据1-8月'!$H:$H,$K$8))/IF($K$8="全部",SUMIFS(INDEX('拌客源数据1-8月'!$A:$X,0,MATCH($F$11,'拌客源数据1-8月'!$1:$1,0)),INDEX('拌客源数据1-8月'!$A:$X,0,MATCH($D$15,'拌客源数据1-8月'!$1:$1,0)),"&gt;="&amp;($D16-7),INDEX('拌客源数据1-8月'!$A:$X,0,MATCH($D$15,'拌客源数据1-8月'!$1:$1,0)),"&lt;="&amp;($D22-7)),SUMIFS(INDEX('拌客源数据1-8月'!$A:$X,0,MATCH($F$11,'拌客源数据1-8月'!$1:$1,0)),INDEX('拌客源数据1-8月'!$A:$X,0,MATCH($D$15,'拌客源数据1-8月'!$1:$1,0)),"&gt;="&amp;($D16-7),INDEX('拌客源数据1-8月'!$A:$X,0,MATCH($D$15,'拌客源数据1-8月'!$1:$1,0)),"&lt;="&amp;($D22-7),'拌客源数据1-8月'!$H:$H,$K$8))-1</f>
        <v>-0.24846467894553603</v>
      </c>
      <c r="H12" s="57">
        <f>IF($K$8="全部",SUMIFS(INDEX('拌客源数据1-8月'!$A:$X,0,MATCH($F$11,'拌客源数据1-8月'!$1:$1,0)),INDEX('拌客源数据1-8月'!$A:$X,0,MATCH($D$15,'拌客源数据1-8月'!$1:$1,0)),"&gt;="&amp;($D16),INDEX('拌客源数据1-8月'!$A:$X,0,MATCH($D$15,'拌客源数据1-8月'!$1:$1,0)),"&lt;="&amp;($D22)),SUMIFS(INDEX('拌客源数据1-8月'!$A:$X,0,MATCH($F$11,'拌客源数据1-8月'!$1:$1,0)),INDEX('拌客源数据1-8月'!$A:$X,0,MATCH($D$15,'拌客源数据1-8月'!$1:$1,0)),"&gt;="&amp;($D16),INDEX('拌客源数据1-8月'!$A:$X,0,MATCH($D$15,'拌客源数据1-8月'!$1:$1,0)),"&lt;="&amp;($D22),'拌客源数据1-8月'!$H:$H,$K$8))/IF($K$8="全部",SUMIFS(INDEX('拌客源数据1-8月'!$A:$X,0,MATCH("GMV",'拌客源数据1-8月'!$1:$1,0)),INDEX('拌客源数据1-8月'!$A:$X,0,MATCH($D$15,'拌客源数据1-8月'!$1:$1,0)),"&gt;="&amp;$D16,INDEX('拌客源数据1-8月'!$A:$X,0,MATCH($D$15,'拌客源数据1-8月'!$1:$1,0)),"&lt;="&amp;$D22),SUMIFS(INDEX('拌客源数据1-8月'!$A:$X,0,MATCH("GMV",'拌客源数据1-8月'!$1:$1,0)),INDEX('拌客源数据1-8月'!$A:$X,0,MATCH($D$15,'拌客源数据1-8月'!$1:$1,0)),"&gt;="&amp;$D16,INDEX('拌客源数据1-8月'!$A:$X,0,MATCH($D$15,'拌客源数据1-8月'!$1:$1,0)),"&lt;="&amp;$D22,'拌客源数据1-8月'!$H:$H,$K$8))</f>
        <v>0.36122657449154982</v>
      </c>
      <c r="I12" s="58">
        <f>IF($K$8="全部",SUMIFS(INDEX('拌客源数据1-8月'!$A:$X,0,MATCH($F$11,'拌客源数据1-8月'!$1:$1,0)),INDEX('拌客源数据1-8月'!$A:$X,0,MATCH($D$15,'拌客源数据1-8月'!$1:$1,0)),"&gt;="&amp;($D16),INDEX('拌客源数据1-8月'!$A:$X,0,MATCH($D$15,'拌客源数据1-8月'!$1:$1,0)),"&lt;="&amp;($D22)),SUMIFS(INDEX('拌客源数据1-8月'!$A:$X,0,MATCH($F$11,'拌客源数据1-8月'!$1:$1,0)),INDEX('拌客源数据1-8月'!$A:$X,0,MATCH($D$15,'拌客源数据1-8月'!$1:$1,0)),"&gt;="&amp;($D16),INDEX('拌客源数据1-8月'!$A:$X,0,MATCH($D$15,'拌客源数据1-8月'!$1:$1,0)),"&lt;="&amp;($D22),'拌客源数据1-8月'!$H:$H,$K$8))/IF($K$8="全部",SUMIFS(INDEX('拌客源数据1-8月'!$A:$X,0,MATCH("GMV",'拌客源数据1-8月'!$1:$1,0)),INDEX('拌客源数据1-8月'!$A:$X,0,MATCH($D$15,'拌客源数据1-8月'!$1:$1,0)),"&gt;="&amp;$D16,INDEX('拌客源数据1-8月'!$A:$X,0,MATCH($D$15,'拌客源数据1-8月'!$1:$1,0)),"&lt;="&amp;$D22),SUMIFS(INDEX('拌客源数据1-8月'!$A:$X,0,MATCH("GMV",'拌客源数据1-8月'!$1:$1,0)),INDEX('拌客源数据1-8月'!$A:$X,0,MATCH($D$15,'拌客源数据1-8月'!$1:$1,0)),"&gt;="&amp;$D16,INDEX('拌客源数据1-8月'!$A:$X,0,MATCH($D$15,'拌客源数据1-8月'!$1:$1,0)),"&lt;="&amp;$D22,'拌客源数据1-8月'!$H:$H,$K$8))/(IF($K$8="全部",SUMIFS(INDEX('拌客源数据1-8月'!$A:$X,0,MATCH(G$15,'拌客源数据1-8月'!$A$1:$X$1,0)),INDEX('拌客源数据1-8月'!$A:$X,0,MATCH("日期",'拌客源数据1-8月'!$A$1:$X$1,0)),"&gt;="&amp;($D$16-7),INDEX('拌客源数据1-8月'!$A:$X,0,MATCH("日期",'拌客源数据1-8月'!$A$1:$X$1,0)),"&lt;="&amp;($D$22-7)),SUMIFS(INDEX('拌客源数据1-8月'!$A:$X,0,MATCH(G$15,'拌客源数据1-8月'!$A$1:$X$1,0)),INDEX('拌客源数据1-8月'!$A:$X,0,MATCH("日期",'拌客源数据1-8月'!$A$1:$X$1,0)),"&gt;="&amp;($D$16-7),INDEX('拌客源数据1-8月'!$A:$X,0,MATCH("日期",'拌客源数据1-8月'!$A$1:$X$1,0)),"&lt;="&amp;($D$22-7),INDEX('拌客源数据1-8月'!$A:$X,0,MATCH("平台i",'拌客源数据1-8月'!$A$1:$X$1,0)),$K$8))/IF($K$8="全部",SUMIFS(INDEX('拌客源数据1-8月'!$A:$X,0,MATCH(F$15,'拌客源数据1-8月'!$A$1:$X$1,0)),INDEX('拌客源数据1-8月'!$A:$X,0,MATCH("日期",'拌客源数据1-8月'!$A$1:$X$1,0)),"&gt;="&amp;($D$16-7),INDEX('拌客源数据1-8月'!$A:$X,0,MATCH("日期",'拌客源数据1-8月'!$A$1:$X$1,0)),"&lt;="&amp;($D$22-7)),SUMIFS(INDEX('拌客源数据1-8月'!$A:$X,0,MATCH(F$15,'拌客源数据1-8月'!$A$1:$X$1,0)),INDEX('拌客源数据1-8月'!$A:$X,0,MATCH("日期",'拌客源数据1-8月'!$A$1:$X$1,0)),"&gt;="&amp;($D$16-7),INDEX('拌客源数据1-8月'!$A:$X,0,MATCH("日期",'拌客源数据1-8月'!$A$1:$X$1,0)),"&lt;="&amp;($D$22-7),INDEX('拌客源数据1-8月'!$A:$X,0,MATCH("平台i",'拌客源数据1-8月'!$A$1:$X$1,0)),$K$8)))-1</f>
        <v>6.459761732540481E-2</v>
      </c>
      <c r="J12" s="52"/>
      <c r="K12" s="29"/>
    </row>
    <row r="13" spans="4:12" x14ac:dyDescent="0.3">
      <c r="D13" s="28"/>
      <c r="E13" s="52"/>
      <c r="F13" s="52"/>
      <c r="G13" s="52"/>
      <c r="H13" s="52"/>
      <c r="I13" s="52"/>
      <c r="J13" s="52"/>
      <c r="K13" s="59"/>
    </row>
    <row r="14" spans="4:12" x14ac:dyDescent="0.3">
      <c r="D14" s="32" t="s">
        <v>67</v>
      </c>
      <c r="E14" s="33"/>
      <c r="F14" s="33" t="s">
        <v>68</v>
      </c>
      <c r="G14" s="33"/>
      <c r="H14" s="33"/>
      <c r="I14" s="33"/>
      <c r="J14" s="33"/>
      <c r="K14" s="27"/>
    </row>
    <row r="15" spans="4:12" x14ac:dyDescent="0.3">
      <c r="D15" s="43" t="s">
        <v>69</v>
      </c>
      <c r="E15" s="60" t="s">
        <v>70</v>
      </c>
      <c r="F15" s="60" t="s">
        <v>55</v>
      </c>
      <c r="G15" s="60" t="s">
        <v>54</v>
      </c>
      <c r="H15" s="60" t="s">
        <v>65</v>
      </c>
      <c r="I15" s="60" t="s">
        <v>53</v>
      </c>
      <c r="J15" s="60" t="s">
        <v>52</v>
      </c>
      <c r="K15" s="44" t="s">
        <v>71</v>
      </c>
      <c r="L15" s="45"/>
    </row>
    <row r="16" spans="4:12" x14ac:dyDescent="0.3">
      <c r="D16" s="34">
        <v>44053</v>
      </c>
      <c r="E16" s="61">
        <f>D16</f>
        <v>44053</v>
      </c>
      <c r="F16" s="62">
        <f>IF($K$8="全部",SUMIF(INDEX('拌客源数据1-8月'!$A:$X,0,MATCH($D$15,'拌客源数据1-8月'!$1:$1,0)),$D16,INDEX('拌客源数据1-8月'!$A:$X,0,MATCH(F$15,'拌客源数据1-8月'!$1:$1,0))),SUMIFS(INDEX('拌客源数据1-8月'!$A:$X,0,MATCH(F$15,'拌客源数据1-8月'!$1:$1,0)),INDEX('拌客源数据1-8月'!$A:$X,0,MATCH($D$15,'拌客源数据1-8月'!$1:$1,0)),$D16,'拌客源数据1-8月'!$H:$H,$K$8))</f>
        <v>2233.92</v>
      </c>
      <c r="G16" s="62">
        <f>IF($K$8="全部",SUMIF(INDEX('拌客源数据1-8月'!$A:$X,0,MATCH($D$15,'拌客源数据1-8月'!$1:$1,0)),$D16,INDEX('拌客源数据1-8月'!$A:$X,0,MATCH(G$15,'拌客源数据1-8月'!$1:$1,0))),SUMIFS(INDEX('拌客源数据1-8月'!$A:$X,0,MATCH(G$15,'拌客源数据1-8月'!$1:$1,0)),INDEX('拌客源数据1-8月'!$A:$X,0,MATCH($D$15,'拌客源数据1-8月'!$1:$1,0)),$D16,'拌客源数据1-8月'!$H:$H,$K$8))</f>
        <v>768.67000000000007</v>
      </c>
      <c r="H16" s="35">
        <f>G16/F16</f>
        <v>0.34409020913909183</v>
      </c>
      <c r="I16" s="52">
        <f>IF($K$8="全部",SUMIF(INDEX('拌客源数据1-8月'!$A:$X,0,MATCH($D$15,'拌客源数据1-8月'!$1:$1,0)),$D16,INDEX('拌客源数据1-8月'!$A:$X,0,MATCH(I$15,'拌客源数据1-8月'!$1:$1,0))),SUMIFS(INDEX('拌客源数据1-8月'!$A:$X,0,MATCH(I$15,'拌客源数据1-8月'!$1:$1,0)),INDEX('拌客源数据1-8月'!$A:$X,0,MATCH($D$15,'拌客源数据1-8月'!$1:$1,0)),$D16,'拌客源数据1-8月'!$H:$H,$K$8))</f>
        <v>40</v>
      </c>
      <c r="J16" s="52">
        <f>IF($K$8="全部",SUMIF(INDEX('拌客源数据1-8月'!$A:$X,0,MATCH($D$15,'拌客源数据1-8月'!$1:$1,0)),$D16,INDEX('拌客源数据1-8月'!$A:$X,0,MATCH(J$15,'拌客源数据1-8月'!$1:$1,0))),SUMIFS(INDEX('拌客源数据1-8月'!$A:$X,0,MATCH(J$15,'拌客源数据1-8月'!$1:$1,0)),INDEX('拌客源数据1-8月'!$A:$X,0,MATCH($D$15,'拌客源数据1-8月'!$1:$1,0)),$D16,'拌客源数据1-8月'!$H:$H,$K$8))</f>
        <v>0</v>
      </c>
      <c r="K16" s="36">
        <f>F16/I16</f>
        <v>55.847999999999999</v>
      </c>
    </row>
    <row r="17" spans="4:11" x14ac:dyDescent="0.3">
      <c r="D17" s="34">
        <f>D16+1</f>
        <v>44054</v>
      </c>
      <c r="E17" s="61">
        <f t="shared" ref="E17:E22" si="0">D17</f>
        <v>44054</v>
      </c>
      <c r="F17" s="62">
        <f>IF($K$8="全部",SUMIF(INDEX('拌客源数据1-8月'!$A:$X,0,MATCH($D$15,'拌客源数据1-8月'!$1:$1,0)),$D17,INDEX('拌客源数据1-8月'!$A:$X,0,MATCH(F$15,'拌客源数据1-8月'!$1:$1,0))),SUMIFS(INDEX('拌客源数据1-8月'!$A:$X,0,MATCH(F$15,'拌客源数据1-8月'!$1:$1,0)),INDEX('拌客源数据1-8月'!$A:$X,0,MATCH($D$15,'拌客源数据1-8月'!$1:$1,0)),$D17,'拌客源数据1-8月'!$H:$H,$K$8))</f>
        <v>2360.1800000000003</v>
      </c>
      <c r="G17" s="62">
        <f>IF($K$8="全部",SUMIF(INDEX('拌客源数据1-8月'!$A:$X,0,MATCH($D$15,'拌客源数据1-8月'!$1:$1,0)),$D17,INDEX('拌客源数据1-8月'!$A:$X,0,MATCH(G$15,'拌客源数据1-8月'!$1:$1,0))),SUMIFS(INDEX('拌客源数据1-8月'!$A:$X,0,MATCH(G$15,'拌客源数据1-8月'!$1:$1,0)),INDEX('拌客源数据1-8月'!$A:$X,0,MATCH($D$15,'拌客源数据1-8月'!$1:$1,0)),$D17,'拌客源数据1-8月'!$H:$H,$K$8))</f>
        <v>923.19</v>
      </c>
      <c r="H17" s="35">
        <f t="shared" ref="H17:H23" si="1">G17/F17</f>
        <v>0.39115236973451173</v>
      </c>
      <c r="I17" s="52">
        <f>IF($K$8="全部",SUMIF(INDEX('拌客源数据1-8月'!$A:$X,0,MATCH($D$15,'拌客源数据1-8月'!$1:$1,0)),$D17,INDEX('拌客源数据1-8月'!$A:$X,0,MATCH(I$15,'拌客源数据1-8月'!$1:$1,0))),SUMIFS(INDEX('拌客源数据1-8月'!$A:$X,0,MATCH(I$15,'拌客源数据1-8月'!$1:$1,0)),INDEX('拌客源数据1-8月'!$A:$X,0,MATCH($D$15,'拌客源数据1-8月'!$1:$1,0)),$D17,'拌客源数据1-8月'!$H:$H,$K$8))</f>
        <v>39</v>
      </c>
      <c r="J17" s="52">
        <f>IF($K$8="全部",SUMIF(INDEX('拌客源数据1-8月'!$A:$X,0,MATCH($D$15,'拌客源数据1-8月'!$1:$1,0)),$D17,INDEX('拌客源数据1-8月'!$A:$X,0,MATCH(J$15,'拌客源数据1-8月'!$1:$1,0))),SUMIFS(INDEX('拌客源数据1-8月'!$A:$X,0,MATCH(J$15,'拌客源数据1-8月'!$1:$1,0)),INDEX('拌客源数据1-8月'!$A:$X,0,MATCH($D$15,'拌客源数据1-8月'!$1:$1,0)),$D17,'拌客源数据1-8月'!$H:$H,$K$8))</f>
        <v>1</v>
      </c>
      <c r="K17" s="36">
        <f t="shared" ref="K17:K23" si="2">F17/I17</f>
        <v>60.517435897435902</v>
      </c>
    </row>
    <row r="18" spans="4:11" x14ac:dyDescent="0.3">
      <c r="D18" s="34">
        <f t="shared" ref="D18:D22" si="3">D17+1</f>
        <v>44055</v>
      </c>
      <c r="E18" s="61">
        <f t="shared" si="0"/>
        <v>44055</v>
      </c>
      <c r="F18" s="62">
        <f>IF($K$8="全部",SUMIF(INDEX('拌客源数据1-8月'!$A:$X,0,MATCH($D$15,'拌客源数据1-8月'!$1:$1,0)),$D18,INDEX('拌客源数据1-8月'!$A:$X,0,MATCH(F$15,'拌客源数据1-8月'!$1:$1,0))),SUMIFS(INDEX('拌客源数据1-8月'!$A:$X,0,MATCH(F$15,'拌客源数据1-8月'!$1:$1,0)),INDEX('拌客源数据1-8月'!$A:$X,0,MATCH($D$15,'拌客源数据1-8月'!$1:$1,0)),$D18,'拌客源数据1-8月'!$H:$H,$K$8))</f>
        <v>1787.54</v>
      </c>
      <c r="G18" s="62">
        <f>IF($K$8="全部",SUMIF(INDEX('拌客源数据1-8月'!$A:$X,0,MATCH($D$15,'拌客源数据1-8月'!$1:$1,0)),$D18,INDEX('拌客源数据1-8月'!$A:$X,0,MATCH(G$15,'拌客源数据1-8月'!$1:$1,0))),SUMIFS(INDEX('拌客源数据1-8月'!$A:$X,0,MATCH(G$15,'拌客源数据1-8月'!$1:$1,0)),INDEX('拌客源数据1-8月'!$A:$X,0,MATCH($D$15,'拌客源数据1-8月'!$1:$1,0)),$D18,'拌客源数据1-8月'!$H:$H,$K$8))</f>
        <v>661.01</v>
      </c>
      <c r="H18" s="35">
        <f t="shared" si="1"/>
        <v>0.36978752923011515</v>
      </c>
      <c r="I18" s="52">
        <f>IF($K$8="全部",SUMIF(INDEX('拌客源数据1-8月'!$A:$X,0,MATCH($D$15,'拌客源数据1-8月'!$1:$1,0)),$D18,INDEX('拌客源数据1-8月'!$A:$X,0,MATCH(I$15,'拌客源数据1-8月'!$1:$1,0))),SUMIFS(INDEX('拌客源数据1-8月'!$A:$X,0,MATCH(I$15,'拌客源数据1-8月'!$1:$1,0)),INDEX('拌客源数据1-8月'!$A:$X,0,MATCH($D$15,'拌客源数据1-8月'!$1:$1,0)),$D18,'拌客源数据1-8月'!$H:$H,$K$8))</f>
        <v>31</v>
      </c>
      <c r="J18" s="52">
        <f>IF($K$8="全部",SUMIF(INDEX('拌客源数据1-8月'!$A:$X,0,MATCH($D$15,'拌客源数据1-8月'!$1:$1,0)),$D18,INDEX('拌客源数据1-8月'!$A:$X,0,MATCH(J$15,'拌客源数据1-8月'!$1:$1,0))),SUMIFS(INDEX('拌客源数据1-8月'!$A:$X,0,MATCH(J$15,'拌客源数据1-8月'!$1:$1,0)),INDEX('拌客源数据1-8月'!$A:$X,0,MATCH($D$15,'拌客源数据1-8月'!$1:$1,0)),$D18,'拌客源数据1-8月'!$H:$H,$K$8))</f>
        <v>1</v>
      </c>
      <c r="K18" s="36">
        <f t="shared" si="2"/>
        <v>57.662580645161292</v>
      </c>
    </row>
    <row r="19" spans="4:11" x14ac:dyDescent="0.3">
      <c r="D19" s="34">
        <f t="shared" si="3"/>
        <v>44056</v>
      </c>
      <c r="E19" s="61">
        <f t="shared" si="0"/>
        <v>44056</v>
      </c>
      <c r="F19" s="62">
        <f>IF($K$8="全部",SUMIF(INDEX('拌客源数据1-8月'!$A:$X,0,MATCH($D$15,'拌客源数据1-8月'!$1:$1,0)),$D19,INDEX('拌客源数据1-8月'!$A:$X,0,MATCH(F$15,'拌客源数据1-8月'!$1:$1,0))),SUMIFS(INDEX('拌客源数据1-8月'!$A:$X,0,MATCH(F$15,'拌客源数据1-8月'!$1:$1,0)),INDEX('拌客源数据1-8月'!$A:$X,0,MATCH($D$15,'拌客源数据1-8月'!$1:$1,0)),$D19,'拌客源数据1-8月'!$H:$H,$K$8))</f>
        <v>1814.93</v>
      </c>
      <c r="G19" s="62">
        <f>IF($K$8="全部",SUMIF(INDEX('拌客源数据1-8月'!$A:$X,0,MATCH($D$15,'拌客源数据1-8月'!$1:$1,0)),$D19,INDEX('拌客源数据1-8月'!$A:$X,0,MATCH(G$15,'拌客源数据1-8月'!$1:$1,0))),SUMIFS(INDEX('拌客源数据1-8月'!$A:$X,0,MATCH(G$15,'拌客源数据1-8月'!$1:$1,0)),INDEX('拌客源数据1-8月'!$A:$X,0,MATCH($D$15,'拌客源数据1-8月'!$1:$1,0)),$D19,'拌客源数据1-8月'!$H:$H,$K$8))</f>
        <v>634.1</v>
      </c>
      <c r="H19" s="35">
        <f t="shared" si="1"/>
        <v>0.34937986589014453</v>
      </c>
      <c r="I19" s="52">
        <f>IF($K$8="全部",SUMIF(INDEX('拌客源数据1-8月'!$A:$X,0,MATCH($D$15,'拌客源数据1-8月'!$1:$1,0)),$D19,INDEX('拌客源数据1-8月'!$A:$X,0,MATCH(I$15,'拌客源数据1-8月'!$1:$1,0))),SUMIFS(INDEX('拌客源数据1-8月'!$A:$X,0,MATCH(I$15,'拌客源数据1-8月'!$1:$1,0)),INDEX('拌客源数据1-8月'!$A:$X,0,MATCH($D$15,'拌客源数据1-8月'!$1:$1,0)),$D19,'拌客源数据1-8月'!$H:$H,$K$8))</f>
        <v>33</v>
      </c>
      <c r="J19" s="52">
        <f>IF($K$8="全部",SUMIF(INDEX('拌客源数据1-8月'!$A:$X,0,MATCH($D$15,'拌客源数据1-8月'!$1:$1,0)),$D19,INDEX('拌客源数据1-8月'!$A:$X,0,MATCH(J$15,'拌客源数据1-8月'!$1:$1,0))),SUMIFS(INDEX('拌客源数据1-8月'!$A:$X,0,MATCH(J$15,'拌客源数据1-8月'!$1:$1,0)),INDEX('拌客源数据1-8月'!$A:$X,0,MATCH($D$15,'拌客源数据1-8月'!$1:$1,0)),$D19,'拌客源数据1-8月'!$H:$H,$K$8))</f>
        <v>1</v>
      </c>
      <c r="K19" s="36">
        <f t="shared" si="2"/>
        <v>54.99787878787879</v>
      </c>
    </row>
    <row r="20" spans="4:11" x14ac:dyDescent="0.3">
      <c r="D20" s="34">
        <f t="shared" si="3"/>
        <v>44057</v>
      </c>
      <c r="E20" s="61">
        <f t="shared" si="0"/>
        <v>44057</v>
      </c>
      <c r="F20" s="62">
        <f>IF($K$8="全部",SUMIF(INDEX('拌客源数据1-8月'!$A:$X,0,MATCH($D$15,'拌客源数据1-8月'!$1:$1,0)),$D20,INDEX('拌客源数据1-8月'!$A:$X,0,MATCH(F$15,'拌客源数据1-8月'!$1:$1,0))),SUMIFS(INDEX('拌客源数据1-8月'!$A:$X,0,MATCH(F$15,'拌客源数据1-8月'!$1:$1,0)),INDEX('拌客源数据1-8月'!$A:$X,0,MATCH($D$15,'拌客源数据1-8月'!$1:$1,0)),$D20,'拌客源数据1-8月'!$H:$H,$K$8))</f>
        <v>2222.31</v>
      </c>
      <c r="G20" s="62">
        <f>IF($K$8="全部",SUMIF(INDEX('拌客源数据1-8月'!$A:$X,0,MATCH($D$15,'拌客源数据1-8月'!$1:$1,0)),$D20,INDEX('拌客源数据1-8月'!$A:$X,0,MATCH(G$15,'拌客源数据1-8月'!$1:$1,0))),SUMIFS(INDEX('拌客源数据1-8月'!$A:$X,0,MATCH(G$15,'拌客源数据1-8月'!$1:$1,0)),INDEX('拌客源数据1-8月'!$A:$X,0,MATCH($D$15,'拌客源数据1-8月'!$1:$1,0)),$D20,'拌客源数据1-8月'!$H:$H,$K$8))</f>
        <v>799.33</v>
      </c>
      <c r="H20" s="35">
        <f t="shared" si="1"/>
        <v>0.35968429247044742</v>
      </c>
      <c r="I20" s="52">
        <f>IF($K$8="全部",SUMIF(INDEX('拌客源数据1-8月'!$A:$X,0,MATCH($D$15,'拌客源数据1-8月'!$1:$1,0)),$D20,INDEX('拌客源数据1-8月'!$A:$X,0,MATCH(I$15,'拌客源数据1-8月'!$1:$1,0))),SUMIFS(INDEX('拌客源数据1-8月'!$A:$X,0,MATCH(I$15,'拌客源数据1-8月'!$1:$1,0)),INDEX('拌客源数据1-8月'!$A:$X,0,MATCH($D$15,'拌客源数据1-8月'!$1:$1,0)),$D20,'拌客源数据1-8月'!$H:$H,$K$8))</f>
        <v>37</v>
      </c>
      <c r="J20" s="52">
        <f>IF($K$8="全部",SUMIF(INDEX('拌客源数据1-8月'!$A:$X,0,MATCH($D$15,'拌客源数据1-8月'!$1:$1,0)),$D20,INDEX('拌客源数据1-8月'!$A:$X,0,MATCH(J$15,'拌客源数据1-8月'!$1:$1,0))),SUMIFS(INDEX('拌客源数据1-8月'!$A:$X,0,MATCH(J$15,'拌客源数据1-8月'!$1:$1,0)),INDEX('拌客源数据1-8月'!$A:$X,0,MATCH($D$15,'拌客源数据1-8月'!$1:$1,0)),$D20,'拌客源数据1-8月'!$H:$H,$K$8))</f>
        <v>1</v>
      </c>
      <c r="K20" s="36">
        <f t="shared" si="2"/>
        <v>60.062432432432431</v>
      </c>
    </row>
    <row r="21" spans="4:11" x14ac:dyDescent="0.3">
      <c r="D21" s="34">
        <f>D20+1</f>
        <v>44058</v>
      </c>
      <c r="E21" s="61">
        <f t="shared" si="0"/>
        <v>44058</v>
      </c>
      <c r="F21" s="62">
        <f>IF($K$8="全部",SUMIF(INDEX('拌客源数据1-8月'!$A:$X,0,MATCH($D$15,'拌客源数据1-8月'!$1:$1,0)),$D21,INDEX('拌客源数据1-8月'!$A:$X,0,MATCH(F$15,'拌客源数据1-8月'!$1:$1,0))),SUMIFS(INDEX('拌客源数据1-8月'!$A:$X,0,MATCH(F$15,'拌客源数据1-8月'!$1:$1,0)),INDEX('拌客源数据1-8月'!$A:$X,0,MATCH($D$15,'拌客源数据1-8月'!$1:$1,0)),$D21,'拌客源数据1-8月'!$H:$H,$K$8))</f>
        <v>2528.64</v>
      </c>
      <c r="G21" s="62">
        <f>IF($K$8="全部",SUMIF(INDEX('拌客源数据1-8月'!$A:$X,0,MATCH($D$15,'拌客源数据1-8月'!$1:$1,0)),$D21,INDEX('拌客源数据1-8月'!$A:$X,0,MATCH(G$15,'拌客源数据1-8月'!$1:$1,0))),SUMIFS(INDEX('拌客源数据1-8月'!$A:$X,0,MATCH(G$15,'拌客源数据1-8月'!$1:$1,0)),INDEX('拌客源数据1-8月'!$A:$X,0,MATCH($D$15,'拌客源数据1-8月'!$1:$1,0)),$D21,'拌客源数据1-8月'!$H:$H,$K$8))</f>
        <v>876.06</v>
      </c>
      <c r="H21" s="35">
        <f t="shared" si="1"/>
        <v>0.34645501138952162</v>
      </c>
      <c r="I21" s="52">
        <f>IF($K$8="全部",SUMIF(INDEX('拌客源数据1-8月'!$A:$X,0,MATCH($D$15,'拌客源数据1-8月'!$1:$1,0)),$D21,INDEX('拌客源数据1-8月'!$A:$X,0,MATCH(I$15,'拌客源数据1-8月'!$1:$1,0))),SUMIFS(INDEX('拌客源数据1-8月'!$A:$X,0,MATCH(I$15,'拌客源数据1-8月'!$1:$1,0)),INDEX('拌客源数据1-8月'!$A:$X,0,MATCH($D$15,'拌客源数据1-8月'!$1:$1,0)),$D21,'拌客源数据1-8月'!$H:$H,$K$8))</f>
        <v>43</v>
      </c>
      <c r="J21" s="52">
        <f>IF($K$8="全部",SUMIF(INDEX('拌客源数据1-8月'!$A:$X,0,MATCH($D$15,'拌客源数据1-8月'!$1:$1,0)),$D21,INDEX('拌客源数据1-8月'!$A:$X,0,MATCH(J$15,'拌客源数据1-8月'!$1:$1,0))),SUMIFS(INDEX('拌客源数据1-8月'!$A:$X,0,MATCH(J$15,'拌客源数据1-8月'!$1:$1,0)),INDEX('拌客源数据1-8月'!$A:$X,0,MATCH($D$15,'拌客源数据1-8月'!$1:$1,0)),$D21,'拌客源数据1-8月'!$H:$H,$K$8))</f>
        <v>0</v>
      </c>
      <c r="K21" s="36">
        <f t="shared" si="2"/>
        <v>58.805581395348831</v>
      </c>
    </row>
    <row r="22" spans="4:11" x14ac:dyDescent="0.3">
      <c r="D22" s="46">
        <f t="shared" si="3"/>
        <v>44059</v>
      </c>
      <c r="E22" s="47">
        <f t="shared" si="0"/>
        <v>44059</v>
      </c>
      <c r="F22" s="38">
        <f>IF($K$8="全部",SUMIF(INDEX('拌客源数据1-8月'!$A:$X,0,MATCH($D$15,'拌客源数据1-8月'!$1:$1,0)),$D22,INDEX('拌客源数据1-8月'!$A:$X,0,MATCH(F$15,'拌客源数据1-8月'!$1:$1,0))),SUMIFS(INDEX('拌客源数据1-8月'!$A:$X,0,MATCH(F$15,'拌客源数据1-8月'!$1:$1,0)),INDEX('拌客源数据1-8月'!$A:$X,0,MATCH($D$15,'拌客源数据1-8月'!$1:$1,0)),$D22,'拌客源数据1-8月'!$H:$H,$K$8))</f>
        <v>2050.02</v>
      </c>
      <c r="G22" s="38">
        <f>IF($K$8="全部",SUMIF(INDEX('拌客源数据1-8月'!$A:$X,0,MATCH($D$15,'拌客源数据1-8月'!$1:$1,0)),$D22,INDEX('拌客源数据1-8月'!$A:$X,0,MATCH(G$15,'拌客源数据1-8月'!$1:$1,0))),SUMIFS(INDEX('拌客源数据1-8月'!$A:$X,0,MATCH(G$15,'拌客源数据1-8月'!$1:$1,0)),INDEX('拌客源数据1-8月'!$A:$X,0,MATCH($D$15,'拌客源数据1-8月'!$1:$1,0)),$D22,'拌客源数据1-8月'!$H:$H,$K$8))</f>
        <v>755.15</v>
      </c>
      <c r="H22" s="39">
        <f t="shared" si="1"/>
        <v>0.3683622598803914</v>
      </c>
      <c r="I22" s="37">
        <f>IF($K$8="全部",SUMIF(INDEX('拌客源数据1-8月'!$A:$X,0,MATCH($D$15,'拌客源数据1-8月'!$1:$1,0)),$D22,INDEX('拌客源数据1-8月'!$A:$X,0,MATCH(I$15,'拌客源数据1-8月'!$1:$1,0))),SUMIFS(INDEX('拌客源数据1-8月'!$A:$X,0,MATCH(I$15,'拌客源数据1-8月'!$1:$1,0)),INDEX('拌客源数据1-8月'!$A:$X,0,MATCH($D$15,'拌客源数据1-8月'!$1:$1,0)),$D22,'拌客源数据1-8月'!$H:$H,$K$8))</f>
        <v>35</v>
      </c>
      <c r="J22" s="37">
        <f>IF($K$8="全部",SUMIF(INDEX('拌客源数据1-8月'!$A:$X,0,MATCH($D$15,'拌客源数据1-8月'!$1:$1,0)),$D22,INDEX('拌客源数据1-8月'!$A:$X,0,MATCH(J$15,'拌客源数据1-8月'!$1:$1,0))),SUMIFS(INDEX('拌客源数据1-8月'!$A:$X,0,MATCH(J$15,'拌客源数据1-8月'!$1:$1,0)),INDEX('拌客源数据1-8月'!$A:$X,0,MATCH($D$15,'拌客源数据1-8月'!$1:$1,0)),$D22,'拌客源数据1-8月'!$H:$H,$K$8))</f>
        <v>1</v>
      </c>
      <c r="K22" s="40">
        <f t="shared" si="2"/>
        <v>58.572000000000003</v>
      </c>
    </row>
    <row r="23" spans="4:11" x14ac:dyDescent="0.3">
      <c r="D23" s="28" t="s">
        <v>72</v>
      </c>
      <c r="E23" s="52"/>
      <c r="F23" s="62">
        <f>SUM(F16:F22)</f>
        <v>14997.539999999999</v>
      </c>
      <c r="G23" s="62">
        <f t="shared" ref="G23:J23" si="4">SUM(G16:G22)</f>
        <v>5417.5099999999993</v>
      </c>
      <c r="H23" s="35">
        <f t="shared" si="1"/>
        <v>0.36122657449154993</v>
      </c>
      <c r="I23" s="52">
        <f t="shared" si="4"/>
        <v>258</v>
      </c>
      <c r="J23" s="52">
        <f t="shared" si="4"/>
        <v>5</v>
      </c>
      <c r="K23" s="36">
        <f t="shared" si="2"/>
        <v>58.129999999999995</v>
      </c>
    </row>
    <row r="24" spans="4:11" x14ac:dyDescent="0.3">
      <c r="D24" s="28"/>
      <c r="E24" s="52"/>
      <c r="F24" s="52"/>
      <c r="G24" s="52"/>
      <c r="H24" s="52"/>
      <c r="I24" s="52"/>
      <c r="J24" s="52"/>
      <c r="K24" s="29"/>
    </row>
    <row r="25" spans="4:11" x14ac:dyDescent="0.3">
      <c r="D25" s="28"/>
      <c r="E25" s="52"/>
      <c r="F25" s="52"/>
      <c r="G25" s="52"/>
      <c r="H25" s="52"/>
      <c r="I25" s="52"/>
      <c r="J25" s="52"/>
      <c r="K25" s="29"/>
    </row>
    <row r="26" spans="4:11" x14ac:dyDescent="0.3">
      <c r="D26" s="32" t="s">
        <v>73</v>
      </c>
      <c r="E26" s="33"/>
      <c r="F26" s="33" t="s">
        <v>68</v>
      </c>
      <c r="G26" s="33"/>
      <c r="H26" s="33"/>
      <c r="I26" s="33"/>
      <c r="J26" s="33"/>
      <c r="K26" s="27"/>
    </row>
    <row r="27" spans="4:11" x14ac:dyDescent="0.3">
      <c r="D27" s="43" t="s">
        <v>69</v>
      </c>
      <c r="E27" s="60" t="s">
        <v>70</v>
      </c>
      <c r="F27" s="60" t="s">
        <v>59</v>
      </c>
      <c r="G27" s="60" t="s">
        <v>74</v>
      </c>
      <c r="H27" s="60" t="s">
        <v>60</v>
      </c>
      <c r="I27" s="60" t="s">
        <v>75</v>
      </c>
      <c r="J27" s="60" t="s">
        <v>61</v>
      </c>
      <c r="K27" s="44" t="s">
        <v>76</v>
      </c>
    </row>
    <row r="28" spans="4:11" x14ac:dyDescent="0.3">
      <c r="D28" s="34">
        <f>D16</f>
        <v>44053</v>
      </c>
      <c r="E28" s="61">
        <f>D16</f>
        <v>44053</v>
      </c>
      <c r="F28" s="52">
        <f>IF($K$8="全部",SUMIF(INDEX('拌客源数据1-8月'!$A:$X,0,MATCH($D$15,'拌客源数据1-8月'!$1:$1,0)),$D16,INDEX('拌客源数据1-8月'!$A:$X,0,MATCH(F$27,'拌客源数据1-8月'!$1:$1,0))),SUMIFS(INDEX('拌客源数据1-8月'!$A:$X,0,MATCH(F$27,'拌客源数据1-8月'!$1:$1,0)),INDEX('拌客源数据1-8月'!$A:$X,0,MATCH($D$15,'拌客源数据1-8月'!$1:$1,0)),$D16,'拌客源数据1-8月'!$H:$H,$K$8))</f>
        <v>2375</v>
      </c>
      <c r="G28" s="52">
        <f>IF($K$8="全部",SUMIF(INDEX('拌客源数据1-8月'!$A:$X,0,MATCH($D$15,'拌客源数据1-8月'!$1:$1,0)),$D16,INDEX('拌客源数据1-8月'!$A:$X,0,MATCH(G$27,'拌客源数据1-8月'!$1:$1,0))),SUMIFS(INDEX('拌客源数据1-8月'!$A:$X,0,MATCH(G$27,'拌客源数据1-8月'!$1:$1,0)),INDEX('拌客源数据1-8月'!$A:$X,0,MATCH($D$15,'拌客源数据1-8月'!$1:$1,0)),$D16,'拌客源数据1-8月'!$H:$H,$K$8))</f>
        <v>175</v>
      </c>
      <c r="H28" s="35">
        <f>G28/F28</f>
        <v>7.3684210526315783E-2</v>
      </c>
      <c r="I28" s="52">
        <f>IF($K$8="全部",SUMIF(INDEX('拌客源数据1-8月'!$A:$X,0,MATCH($D$15,'拌客源数据1-8月'!$1:$1,0)),$D16,INDEX('拌客源数据1-8月'!$A:$X,0,MATCH(I$27,'拌客源数据1-8月'!$1:$1,0))),SUMIFS(INDEX('拌客源数据1-8月'!$A:$X,0,MATCH(I$27,'拌客源数据1-8月'!$1:$1,0)),INDEX('拌客源数据1-8月'!$A:$X,0,MATCH($D$15,'拌客源数据1-8月'!$1:$1,0)),$D16,'拌客源数据1-8月'!$H:$H,$K$8))</f>
        <v>36</v>
      </c>
      <c r="J28" s="35">
        <f>I28/G28</f>
        <v>0.20571428571428571</v>
      </c>
      <c r="K28" s="41">
        <f>IF($K$8="全部",SUMIF(INDEX('拌客源数据1-8月'!$A:$X,0,MATCH($D$15,'拌客源数据1-8月'!$1:$1,0)),$D16,INDEX('拌客源数据1-8月'!$A:$X,0,MATCH("cpc总费用",'拌客源数据1-8月'!$1:$1,0))),SUMIFS(INDEX('拌客源数据1-8月'!$A:$X,0,MATCH("cpc总费用",'拌客源数据1-8月'!$1:$1,0)),INDEX('拌客源数据1-8月'!$A:$X,0,MATCH($D$15,'拌客源数据1-8月'!$1:$1,0)),$D16,'拌客源数据1-8月'!$H:$H,$K$8))/IF($K$8="全部",SUMIF(INDEX('拌客源数据1-8月'!$A:$X,0,MATCH($D$15,'拌客源数据1-8月'!$1:$1,0)),$D16,INDEX('拌客源数据1-8月'!$A:$X,0,MATCH(F$15,'拌客源数据1-8月'!$1:$1,0))),SUMIFS(INDEX('拌客源数据1-8月'!$A:$X,0,MATCH(F$15,'拌客源数据1-8月'!$1:$1,0)),INDEX('拌客源数据1-8月'!$A:$X,0,MATCH($D$15,'拌客源数据1-8月'!$1:$1,0)),$D16,'拌客源数据1-8月'!$H:$H,$K$8))</f>
        <v>4.3918313995129639E-2</v>
      </c>
    </row>
    <row r="29" spans="4:11" x14ac:dyDescent="0.3">
      <c r="D29" s="34">
        <f t="shared" ref="D29:D34" si="5">D17</f>
        <v>44054</v>
      </c>
      <c r="E29" s="61">
        <f>D17</f>
        <v>44054</v>
      </c>
      <c r="F29" s="52">
        <f>IF($K$8="全部",SUMIF(INDEX('拌客源数据1-8月'!$A:$X,0,MATCH($D$15,'拌客源数据1-8月'!$1:$1,0)),$D17,INDEX('拌客源数据1-8月'!$A:$X,0,MATCH(F$27,'拌客源数据1-8月'!$1:$1,0))),SUMIFS(INDEX('拌客源数据1-8月'!$A:$X,0,MATCH(F$27,'拌客源数据1-8月'!$1:$1,0)),INDEX('拌客源数据1-8月'!$A:$X,0,MATCH($D$15,'拌客源数据1-8月'!$1:$1,0)),$D17,'拌客源数据1-8月'!$H:$H,$K$8))</f>
        <v>1989</v>
      </c>
      <c r="G29" s="52">
        <f>IF($K$8="全部",SUMIF(INDEX('拌客源数据1-8月'!$A:$X,0,MATCH($D$15,'拌客源数据1-8月'!$1:$1,0)),$D17,INDEX('拌客源数据1-8月'!$A:$X,0,MATCH(G$27,'拌客源数据1-8月'!$1:$1,0))),SUMIFS(INDEX('拌客源数据1-8月'!$A:$X,0,MATCH(G$27,'拌客源数据1-8月'!$1:$1,0)),INDEX('拌客源数据1-8月'!$A:$X,0,MATCH($D$15,'拌客源数据1-8月'!$1:$1,0)),$D17,'拌客源数据1-8月'!$H:$H,$K$8))</f>
        <v>155</v>
      </c>
      <c r="H29" s="35">
        <f t="shared" ref="H29:H35" si="6">G29/F29</f>
        <v>7.7928607340372047E-2</v>
      </c>
      <c r="I29" s="52">
        <f>IF($K$8="全部",SUMIF(INDEX('拌客源数据1-8月'!$A:$X,0,MATCH($D$15,'拌客源数据1-8月'!$1:$1,0)),$D17,INDEX('拌客源数据1-8月'!$A:$X,0,MATCH(I$27,'拌客源数据1-8月'!$1:$1,0))),SUMIFS(INDEX('拌客源数据1-8月'!$A:$X,0,MATCH(I$27,'拌客源数据1-8月'!$1:$1,0)),INDEX('拌客源数据1-8月'!$A:$X,0,MATCH($D$15,'拌客源数据1-8月'!$1:$1,0)),$D17,'拌客源数据1-8月'!$H:$H,$K$8))</f>
        <v>37</v>
      </c>
      <c r="J29" s="35">
        <f t="shared" ref="J29:J35" si="7">I29/G29</f>
        <v>0.23870967741935484</v>
      </c>
      <c r="K29" s="41">
        <f>IF($K$8="全部",SUMIF(INDEX('拌客源数据1-8月'!$A:$X,0,MATCH($D$15,'拌客源数据1-8月'!$1:$1,0)),$D17,INDEX('拌客源数据1-8月'!$A:$X,0,MATCH("cpc总费用",'拌客源数据1-8月'!$1:$1,0))),SUMIFS(INDEX('拌客源数据1-8月'!$A:$X,0,MATCH("cpc总费用",'拌客源数据1-8月'!$1:$1,0)),INDEX('拌客源数据1-8月'!$A:$X,0,MATCH($D$15,'拌客源数据1-8月'!$1:$1,0)),$D17,'拌客源数据1-8月'!$H:$H,$K$8))/IF($K$8="全部",SUMIF(INDEX('拌客源数据1-8月'!$A:$X,0,MATCH($D$15,'拌客源数据1-8月'!$1:$1,0)),$D17,INDEX('拌客源数据1-8月'!$A:$X,0,MATCH(F$15,'拌客源数据1-8月'!$1:$1,0))),SUMIFS(INDEX('拌客源数据1-8月'!$A:$X,0,MATCH(F$15,'拌客源数据1-8月'!$1:$1,0)),INDEX('拌客源数据1-8月'!$A:$X,0,MATCH($D$15,'拌客源数据1-8月'!$1:$1,0)),$D17,'拌客源数据1-8月'!$H:$H,$K$8))</f>
        <v>5.0559703073494389E-2</v>
      </c>
    </row>
    <row r="30" spans="4:11" x14ac:dyDescent="0.3">
      <c r="D30" s="34">
        <f t="shared" si="5"/>
        <v>44055</v>
      </c>
      <c r="E30" s="61">
        <f t="shared" ref="E30:E34" si="8">D18</f>
        <v>44055</v>
      </c>
      <c r="F30" s="52">
        <f>IF($K$8="全部",SUMIF(INDEX('拌客源数据1-8月'!$A:$X,0,MATCH($D$15,'拌客源数据1-8月'!$1:$1,0)),$D18,INDEX('拌客源数据1-8月'!$A:$X,0,MATCH(F$27,'拌客源数据1-8月'!$1:$1,0))),SUMIFS(INDEX('拌客源数据1-8月'!$A:$X,0,MATCH(F$27,'拌客源数据1-8月'!$1:$1,0)),INDEX('拌客源数据1-8月'!$A:$X,0,MATCH($D$15,'拌客源数据1-8月'!$1:$1,0)),$D18,'拌客源数据1-8月'!$H:$H,$K$8))</f>
        <v>1913</v>
      </c>
      <c r="G30" s="52">
        <f>IF($K$8="全部",SUMIF(INDEX('拌客源数据1-8月'!$A:$X,0,MATCH($D$15,'拌客源数据1-8月'!$1:$1,0)),$D18,INDEX('拌客源数据1-8月'!$A:$X,0,MATCH(G$27,'拌客源数据1-8月'!$1:$1,0))),SUMIFS(INDEX('拌客源数据1-8月'!$A:$X,0,MATCH(G$27,'拌客源数据1-8月'!$1:$1,0)),INDEX('拌客源数据1-8月'!$A:$X,0,MATCH($D$15,'拌客源数据1-8月'!$1:$1,0)),$D18,'拌客源数据1-8月'!$H:$H,$K$8))</f>
        <v>149</v>
      </c>
      <c r="H30" s="35">
        <f t="shared" si="6"/>
        <v>7.7888133821223213E-2</v>
      </c>
      <c r="I30" s="52">
        <f>IF($K$8="全部",SUMIF(INDEX('拌客源数据1-8月'!$A:$X,0,MATCH($D$15,'拌客源数据1-8月'!$1:$1,0)),$D18,INDEX('拌客源数据1-8月'!$A:$X,0,MATCH(I$27,'拌客源数据1-8月'!$1:$1,0))),SUMIFS(INDEX('拌客源数据1-8月'!$A:$X,0,MATCH(I$27,'拌客源数据1-8月'!$1:$1,0)),INDEX('拌客源数据1-8月'!$A:$X,0,MATCH($D$15,'拌客源数据1-8月'!$1:$1,0)),$D18,'拌客源数据1-8月'!$H:$H,$K$8))</f>
        <v>31</v>
      </c>
      <c r="J30" s="35">
        <f t="shared" si="7"/>
        <v>0.20805369127516779</v>
      </c>
      <c r="K30" s="41">
        <f>IF($K$8="全部",SUMIF(INDEX('拌客源数据1-8月'!$A:$X,0,MATCH($D$15,'拌客源数据1-8月'!$1:$1,0)),$D18,INDEX('拌客源数据1-8月'!$A:$X,0,MATCH("cpc总费用",'拌客源数据1-8月'!$1:$1,0))),SUMIFS(INDEX('拌客源数据1-8月'!$A:$X,0,MATCH("cpc总费用",'拌客源数据1-8月'!$1:$1,0)),INDEX('拌客源数据1-8月'!$A:$X,0,MATCH($D$15,'拌客源数据1-8月'!$1:$1,0)),$D18,'拌客源数据1-8月'!$H:$H,$K$8))/IF($K$8="全部",SUMIF(INDEX('拌客源数据1-8月'!$A:$X,0,MATCH($D$15,'拌客源数据1-8月'!$1:$1,0)),$D18,INDEX('拌客源数据1-8月'!$A:$X,0,MATCH(F$15,'拌客源数据1-8月'!$1:$1,0))),SUMIFS(INDEX('拌客源数据1-8月'!$A:$X,0,MATCH(F$15,'拌客源数据1-8月'!$1:$1,0)),INDEX('拌客源数据1-8月'!$A:$X,0,MATCH($D$15,'拌客源数据1-8月'!$1:$1,0)),$D18,'拌客源数据1-8月'!$H:$H,$K$8))</f>
        <v>6.1906306991731656E-2</v>
      </c>
    </row>
    <row r="31" spans="4:11" x14ac:dyDescent="0.3">
      <c r="D31" s="34">
        <f t="shared" si="5"/>
        <v>44056</v>
      </c>
      <c r="E31" s="61">
        <f t="shared" si="8"/>
        <v>44056</v>
      </c>
      <c r="F31" s="52">
        <f>IF($K$8="全部",SUMIF(INDEX('拌客源数据1-8月'!$A:$X,0,MATCH($D$15,'拌客源数据1-8月'!$1:$1,0)),$D19,INDEX('拌客源数据1-8月'!$A:$X,0,MATCH(F$27,'拌客源数据1-8月'!$1:$1,0))),SUMIFS(INDEX('拌客源数据1-8月'!$A:$X,0,MATCH(F$27,'拌客源数据1-8月'!$1:$1,0)),INDEX('拌客源数据1-8月'!$A:$X,0,MATCH($D$15,'拌客源数据1-8月'!$1:$1,0)),$D19,'拌客源数据1-8月'!$H:$H,$K$8))</f>
        <v>2044</v>
      </c>
      <c r="G31" s="52">
        <f>IF($K$8="全部",SUMIF(INDEX('拌客源数据1-8月'!$A:$X,0,MATCH($D$15,'拌客源数据1-8月'!$1:$1,0)),$D19,INDEX('拌客源数据1-8月'!$A:$X,0,MATCH(G$27,'拌客源数据1-8月'!$1:$1,0))),SUMIFS(INDEX('拌客源数据1-8月'!$A:$X,0,MATCH(G$27,'拌客源数据1-8月'!$1:$1,0)),INDEX('拌客源数据1-8月'!$A:$X,0,MATCH($D$15,'拌客源数据1-8月'!$1:$1,0)),$D19,'拌客源数据1-8月'!$H:$H,$K$8))</f>
        <v>143</v>
      </c>
      <c r="H31" s="35">
        <f t="shared" si="6"/>
        <v>6.9960861056751464E-2</v>
      </c>
      <c r="I31" s="52">
        <f>IF($K$8="全部",SUMIF(INDEX('拌客源数据1-8月'!$A:$X,0,MATCH($D$15,'拌客源数据1-8月'!$1:$1,0)),$D19,INDEX('拌客源数据1-8月'!$A:$X,0,MATCH(I$27,'拌客源数据1-8月'!$1:$1,0))),SUMIFS(INDEX('拌客源数据1-8月'!$A:$X,0,MATCH(I$27,'拌客源数据1-8月'!$1:$1,0)),INDEX('拌客源数据1-8月'!$A:$X,0,MATCH($D$15,'拌客源数据1-8月'!$1:$1,0)),$D19,'拌客源数据1-8月'!$H:$H,$K$8))</f>
        <v>34</v>
      </c>
      <c r="J31" s="35">
        <f t="shared" si="7"/>
        <v>0.23776223776223776</v>
      </c>
      <c r="K31" s="41">
        <f>IF($K$8="全部",SUMIF(INDEX('拌客源数据1-8月'!$A:$X,0,MATCH($D$15,'拌客源数据1-8月'!$1:$1,0)),$D19,INDEX('拌客源数据1-8月'!$A:$X,0,MATCH("cpc总费用",'拌客源数据1-8月'!$1:$1,0))),SUMIFS(INDEX('拌客源数据1-8月'!$A:$X,0,MATCH("cpc总费用",'拌客源数据1-8月'!$1:$1,0)),INDEX('拌客源数据1-8月'!$A:$X,0,MATCH($D$15,'拌客源数据1-8月'!$1:$1,0)),$D19,'拌客源数据1-8月'!$H:$H,$K$8))/IF($K$8="全部",SUMIF(INDEX('拌客源数据1-8月'!$A:$X,0,MATCH($D$15,'拌客源数据1-8月'!$1:$1,0)),$D19,INDEX('拌客源数据1-8月'!$A:$X,0,MATCH(F$15,'拌客源数据1-8月'!$1:$1,0))),SUMIFS(INDEX('拌客源数据1-8月'!$A:$X,0,MATCH(F$15,'拌客源数据1-8月'!$1:$1,0)),INDEX('拌客源数据1-8月'!$A:$X,0,MATCH($D$15,'拌客源数据1-8月'!$1:$1,0)),$D19,'拌客源数据1-8月'!$H:$H,$K$8))</f>
        <v>5.5462194134209032E-2</v>
      </c>
    </row>
    <row r="32" spans="4:11" x14ac:dyDescent="0.3">
      <c r="D32" s="34">
        <f t="shared" si="5"/>
        <v>44057</v>
      </c>
      <c r="E32" s="61">
        <f t="shared" si="8"/>
        <v>44057</v>
      </c>
      <c r="F32" s="52">
        <f>IF($K$8="全部",SUMIF(INDEX('拌客源数据1-8月'!$A:$X,0,MATCH($D$15,'拌客源数据1-8月'!$1:$1,0)),$D20,INDEX('拌客源数据1-8月'!$A:$X,0,MATCH(F$27,'拌客源数据1-8月'!$1:$1,0))),SUMIFS(INDEX('拌客源数据1-8月'!$A:$X,0,MATCH(F$27,'拌客源数据1-8月'!$1:$1,0)),INDEX('拌客源数据1-8月'!$A:$X,0,MATCH($D$15,'拌客源数据1-8月'!$1:$1,0)),$D20,'拌客源数据1-8月'!$H:$H,$K$8))</f>
        <v>2301</v>
      </c>
      <c r="G32" s="52">
        <f>IF($K$8="全部",SUMIF(INDEX('拌客源数据1-8月'!$A:$X,0,MATCH($D$15,'拌客源数据1-8月'!$1:$1,0)),$D20,INDEX('拌客源数据1-8月'!$A:$X,0,MATCH(G$27,'拌客源数据1-8月'!$1:$1,0))),SUMIFS(INDEX('拌客源数据1-8月'!$A:$X,0,MATCH(G$27,'拌客源数据1-8月'!$1:$1,0)),INDEX('拌客源数据1-8月'!$A:$X,0,MATCH($D$15,'拌客源数据1-8月'!$1:$1,0)),$D20,'拌客源数据1-8月'!$H:$H,$K$8))</f>
        <v>168</v>
      </c>
      <c r="H32" s="35">
        <f t="shared" si="6"/>
        <v>7.3011734028683176E-2</v>
      </c>
      <c r="I32" s="52">
        <f>IF($K$8="全部",SUMIF(INDEX('拌客源数据1-8月'!$A:$X,0,MATCH($D$15,'拌客源数据1-8月'!$1:$1,0)),$D20,INDEX('拌客源数据1-8月'!$A:$X,0,MATCH(I$27,'拌客源数据1-8月'!$1:$1,0))),SUMIFS(INDEX('拌客源数据1-8月'!$A:$X,0,MATCH(I$27,'拌客源数据1-8月'!$1:$1,0)),INDEX('拌客源数据1-8月'!$A:$X,0,MATCH($D$15,'拌客源数据1-8月'!$1:$1,0)),$D20,'拌客源数据1-8月'!$H:$H,$K$8))</f>
        <v>37</v>
      </c>
      <c r="J32" s="35">
        <f t="shared" si="7"/>
        <v>0.22023809523809523</v>
      </c>
      <c r="K32" s="41">
        <f>IF($K$8="全部",SUMIF(INDEX('拌客源数据1-8月'!$A:$X,0,MATCH($D$15,'拌客源数据1-8月'!$1:$1,0)),$D20,INDEX('拌客源数据1-8月'!$A:$X,0,MATCH("cpc总费用",'拌客源数据1-8月'!$1:$1,0))),SUMIFS(INDEX('拌客源数据1-8月'!$A:$X,0,MATCH("cpc总费用",'拌客源数据1-8月'!$1:$1,0)),INDEX('拌客源数据1-8月'!$A:$X,0,MATCH($D$15,'拌客源数据1-8月'!$1:$1,0)),$D20,'拌客源数据1-8月'!$H:$H,$K$8))/IF($K$8="全部",SUMIF(INDEX('拌客源数据1-8月'!$A:$X,0,MATCH($D$15,'拌客源数据1-8月'!$1:$1,0)),$D20,INDEX('拌客源数据1-8月'!$A:$X,0,MATCH(F$15,'拌客源数据1-8月'!$1:$1,0))),SUMIFS(INDEX('拌客源数据1-8月'!$A:$X,0,MATCH(F$15,'拌客源数据1-8月'!$1:$1,0)),INDEX('拌客源数据1-8月'!$A:$X,0,MATCH($D$15,'拌客源数据1-8月'!$1:$1,0)),$D20,'拌客源数据1-8月'!$H:$H,$K$8))</f>
        <v>5.1369970886149995E-2</v>
      </c>
    </row>
    <row r="33" spans="4:11" x14ac:dyDescent="0.3">
      <c r="D33" s="34">
        <f t="shared" si="5"/>
        <v>44058</v>
      </c>
      <c r="E33" s="61">
        <f t="shared" si="8"/>
        <v>44058</v>
      </c>
      <c r="F33" s="52">
        <f>IF($K$8="全部",SUMIF(INDEX('拌客源数据1-8月'!$A:$X,0,MATCH($D$15,'拌客源数据1-8月'!$1:$1,0)),$D21,INDEX('拌客源数据1-8月'!$A:$X,0,MATCH(F$27,'拌客源数据1-8月'!$1:$1,0))),SUMIFS(INDEX('拌客源数据1-8月'!$A:$X,0,MATCH(F$27,'拌客源数据1-8月'!$1:$1,0)),INDEX('拌客源数据1-8月'!$A:$X,0,MATCH($D$15,'拌客源数据1-8月'!$1:$1,0)),$D21,'拌客源数据1-8月'!$H:$H,$K$8))</f>
        <v>2725</v>
      </c>
      <c r="G33" s="52">
        <f>IF($K$8="全部",SUMIF(INDEX('拌客源数据1-8月'!$A:$X,0,MATCH($D$15,'拌客源数据1-8月'!$1:$1,0)),$D21,INDEX('拌客源数据1-8月'!$A:$X,0,MATCH(G$27,'拌客源数据1-8月'!$1:$1,0))),SUMIFS(INDEX('拌客源数据1-8月'!$A:$X,0,MATCH(G$27,'拌客源数据1-8月'!$1:$1,0)),INDEX('拌客源数据1-8月'!$A:$X,0,MATCH($D$15,'拌客源数据1-8月'!$1:$1,0)),$D21,'拌客源数据1-8月'!$H:$H,$K$8))</f>
        <v>201</v>
      </c>
      <c r="H33" s="35">
        <f t="shared" si="6"/>
        <v>7.3761467889908255E-2</v>
      </c>
      <c r="I33" s="52">
        <f>IF($K$8="全部",SUMIF(INDEX('拌客源数据1-8月'!$A:$X,0,MATCH($D$15,'拌客源数据1-8月'!$1:$1,0)),$D21,INDEX('拌客源数据1-8月'!$A:$X,0,MATCH(I$27,'拌客源数据1-8月'!$1:$1,0))),SUMIFS(INDEX('拌客源数据1-8月'!$A:$X,0,MATCH(I$27,'拌客源数据1-8月'!$1:$1,0)),INDEX('拌客源数据1-8月'!$A:$X,0,MATCH($D$15,'拌客源数据1-8月'!$1:$1,0)),$D21,'拌客源数据1-8月'!$H:$H,$K$8))</f>
        <v>43</v>
      </c>
      <c r="J33" s="35">
        <f t="shared" si="7"/>
        <v>0.21393034825870647</v>
      </c>
      <c r="K33" s="41">
        <f>IF($K$8="全部",SUMIF(INDEX('拌客源数据1-8月'!$A:$X,0,MATCH($D$15,'拌客源数据1-8月'!$1:$1,0)),$D21,INDEX('拌客源数据1-8月'!$A:$X,0,MATCH("cpc总费用",'拌客源数据1-8月'!$1:$1,0))),SUMIFS(INDEX('拌客源数据1-8月'!$A:$X,0,MATCH("cpc总费用",'拌客源数据1-8月'!$1:$1,0)),INDEX('拌客源数据1-8月'!$A:$X,0,MATCH($D$15,'拌客源数据1-8月'!$1:$1,0)),$D21,'拌客源数据1-8月'!$H:$H,$K$8))/IF($K$8="全部",SUMIF(INDEX('拌客源数据1-8月'!$A:$X,0,MATCH($D$15,'拌客源数据1-8月'!$1:$1,0)),$D21,INDEX('拌客源数据1-8月'!$A:$X,0,MATCH(F$15,'拌客源数据1-8月'!$1:$1,0))),SUMIFS(INDEX('拌客源数据1-8月'!$A:$X,0,MATCH(F$15,'拌客源数据1-8月'!$1:$1,0)),INDEX('拌客源数据1-8月'!$A:$X,0,MATCH($D$15,'拌客源数据1-8月'!$1:$1,0)),$D21,'拌客源数据1-8月'!$H:$H,$K$8))</f>
        <v>4.346209820298659E-2</v>
      </c>
    </row>
    <row r="34" spans="4:11" x14ac:dyDescent="0.3">
      <c r="D34" s="46">
        <f t="shared" si="5"/>
        <v>44059</v>
      </c>
      <c r="E34" s="47">
        <f t="shared" si="8"/>
        <v>44059</v>
      </c>
      <c r="F34" s="37">
        <f>IF($K$8="全部",SUMIF(INDEX('拌客源数据1-8月'!$A:$X,0,MATCH($D$15,'拌客源数据1-8月'!$1:$1,0)),$D22,INDEX('拌客源数据1-8月'!$A:$X,0,MATCH(F$27,'拌客源数据1-8月'!$1:$1,0))),SUMIFS(INDEX('拌客源数据1-8月'!$A:$X,0,MATCH(F$27,'拌客源数据1-8月'!$1:$1,0)),INDEX('拌客源数据1-8月'!$A:$X,0,MATCH($D$15,'拌客源数据1-8月'!$1:$1,0)),$D22,'拌客源数据1-8月'!$H:$H,$K$8))</f>
        <v>2689</v>
      </c>
      <c r="G34" s="37">
        <f>IF($K$8="全部",SUMIF(INDEX('拌客源数据1-8月'!$A:$X,0,MATCH($D$15,'拌客源数据1-8月'!$1:$1,0)),$D22,INDEX('拌客源数据1-8月'!$A:$X,0,MATCH(G$27,'拌客源数据1-8月'!$1:$1,0))),SUMIFS(INDEX('拌客源数据1-8月'!$A:$X,0,MATCH(G$27,'拌客源数据1-8月'!$1:$1,0)),INDEX('拌客源数据1-8月'!$A:$X,0,MATCH($D$15,'拌客源数据1-8月'!$1:$1,0)),$D22,'拌客源数据1-8月'!$H:$H,$K$8))</f>
        <v>189</v>
      </c>
      <c r="H34" s="39">
        <f t="shared" si="6"/>
        <v>7.0286351803644481E-2</v>
      </c>
      <c r="I34" s="37">
        <f>IF($K$8="全部",SUMIF(INDEX('拌客源数据1-8月'!$A:$X,0,MATCH($D$15,'拌客源数据1-8月'!$1:$1,0)),$D22,INDEX('拌客源数据1-8月'!$A:$X,0,MATCH(I$27,'拌客源数据1-8月'!$1:$1,0))),SUMIFS(INDEX('拌客源数据1-8月'!$A:$X,0,MATCH(I$27,'拌客源数据1-8月'!$1:$1,0)),INDEX('拌客源数据1-8月'!$A:$X,0,MATCH($D$15,'拌客源数据1-8月'!$1:$1,0)),$D22,'拌客源数据1-8月'!$H:$H,$K$8))</f>
        <v>33</v>
      </c>
      <c r="J34" s="39">
        <f t="shared" si="7"/>
        <v>0.17460317460317459</v>
      </c>
      <c r="K34" s="42">
        <f>IF($K$8="全部",SUMIF(INDEX('拌客源数据1-8月'!$A:$X,0,MATCH($D$15,'拌客源数据1-8月'!$1:$1,0)),$D22,INDEX('拌客源数据1-8月'!$A:$X,0,MATCH("cpc总费用",'拌客源数据1-8月'!$1:$1,0))),SUMIFS(INDEX('拌客源数据1-8月'!$A:$X,0,MATCH("cpc总费用",'拌客源数据1-8月'!$1:$1,0)),INDEX('拌客源数据1-8月'!$A:$X,0,MATCH($D$15,'拌客源数据1-8月'!$1:$1,0)),$D22,'拌客源数据1-8月'!$H:$H,$K$8))/IF($K$8="全部",SUMIF(INDEX('拌客源数据1-8月'!$A:$X,0,MATCH($D$15,'拌客源数据1-8月'!$1:$1,0)),$D22,INDEX('拌客源数据1-8月'!$A:$X,0,MATCH(F$15,'拌客源数据1-8月'!$1:$1,0))),SUMIFS(INDEX('拌客源数据1-8月'!$A:$X,0,MATCH(F$15,'拌客源数据1-8月'!$1:$1,0)),INDEX('拌客源数据1-8月'!$A:$X,0,MATCH($D$15,'拌客源数据1-8月'!$1:$1,0)),$D22,'拌客源数据1-8月'!$H:$H,$K$8))</f>
        <v>5.5960429654344834E-2</v>
      </c>
    </row>
    <row r="35" spans="4:11" x14ac:dyDescent="0.3">
      <c r="D35" s="30" t="s">
        <v>72</v>
      </c>
      <c r="E35" s="37"/>
      <c r="F35" s="37">
        <f>SUM(F28:F34)</f>
        <v>16036</v>
      </c>
      <c r="G35" s="37">
        <f t="shared" ref="G35:I35" si="9">SUM(G28:G34)</f>
        <v>1180</v>
      </c>
      <c r="H35" s="39">
        <f t="shared" si="6"/>
        <v>7.3584435021202294E-2</v>
      </c>
      <c r="I35" s="37">
        <f t="shared" si="9"/>
        <v>251</v>
      </c>
      <c r="J35" s="39">
        <f t="shared" si="7"/>
        <v>0.21271186440677967</v>
      </c>
      <c r="K35" s="42">
        <f>IF($K$8="全部",SUMIFS(INDEX('拌客源数据1-8月'!$A:$X,0,MATCH("cpc总费用",'拌客源数据1-8月'!$1:$1,0)),INDEX('拌客源数据1-8月'!$A:$X,0,MATCH($D$15,'拌客源数据1-8月'!$1:$1,0)),"&gt;="&amp;$D16,INDEX('拌客源数据1-8月'!$A:$X,0,MATCH($D$15,'拌客源数据1-8月'!$1:$1,0)),"&lt;="&amp;$D22),SUMIFS(INDEX('拌客源数据1-8月'!$A:$X,0,MATCH("cpc总费用",'拌客源数据1-8月'!$1:$1,0)),INDEX('拌客源数据1-8月'!$A:$X,0,MATCH($D$15,'拌客源数据1-8月'!$1:$1,0)),"&gt;="&amp;$D16,INDEX('拌客源数据1-8月'!$A:$X,0,MATCH($D$15,'拌客源数据1-8月'!$1:$1,0)),"&lt;="&amp;$D22,'拌客源数据1-8月'!$H:$H,$K$8))/IF($K$8="全部",SUMIFS(INDEX('拌客源数据1-8月'!$A:$X,0,MATCH("GMV",'拌客源数据1-8月'!$1:$1,0)),INDEX('拌客源数据1-8月'!$A:$X,0,MATCH($D$15,'拌客源数据1-8月'!$1:$1,0)),"&gt;="&amp;$D16,INDEX('拌客源数据1-8月'!$A:$X,0,MATCH($D$15,'拌客源数据1-8月'!$1:$1,0)),"&lt;="&amp;$D22),SUMIFS(INDEX('拌客源数据1-8月'!$A:$X,0,MATCH("GMV",'拌客源数据1-8月'!$1:$1,0)),INDEX('拌客源数据1-8月'!$A:$X,0,MATCH($D$15,'拌客源数据1-8月'!$1:$1,0)),"&gt;="&amp;$D16,INDEX('拌客源数据1-8月'!$A:$X,0,MATCH($D$15,'拌客源数据1-8月'!$1:$1,0)),"&lt;="&amp;$D22,'拌客源数据1-8月'!$H:$H,$K$8))</f>
        <v>5.1177726480476124E-2</v>
      </c>
    </row>
  </sheetData>
  <mergeCells count="2">
    <mergeCell ref="D5:K6"/>
    <mergeCell ref="J10:K10"/>
  </mergeCells>
  <phoneticPr fontId="18" type="noConversion"/>
  <conditionalFormatting sqref="E12 G12 I12">
    <cfRule type="cellIs" dxfId="2" priority="3" operator="lessThanOrEqual">
      <formula>0</formula>
    </cfRule>
    <cfRule type="cellIs" dxfId="1" priority="4" operator="greaterThan">
      <formula>0</formula>
    </cfRule>
  </conditionalFormatting>
  <conditionalFormatting sqref="J10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{2C443272-DEE9-4171-8408-3EBF11BCFB4F}</x14:id>
        </ext>
      </extLst>
    </cfRule>
  </conditionalFormatting>
  <conditionalFormatting sqref="D16:K22">
    <cfRule type="expression" dxfId="0" priority="21">
      <formula>$F16&lt;AVERAGE($F$16:$F$22)</formula>
    </cfRule>
  </conditionalFormatting>
  <dataValidations count="1">
    <dataValidation type="list" allowBlank="1" showInputMessage="1" showErrorMessage="1" sqref="K8" xr:uid="{F82DA26C-C115-498A-B796-866D8904715F}">
      <formula1>"全部,美团,饿了么"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92D1BA4-2B49-4F7F-9682-D088463C156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E12 G12 I12</xm:sqref>
        </x14:conditionalFormatting>
        <x14:conditionalFormatting xmlns:xm="http://schemas.microsoft.com/office/excel/2006/main">
          <x14:cfRule type="dataBar" id="{2C443272-DEE9-4171-8408-3EBF11BCFB4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4D03B661-996E-44ED-B274-ABB183BEF69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'大厂周报-练习版'!F28:F34</xm:f>
              <xm:sqref>E9</xm:sqref>
            </x14:sparkline>
          </x14:sparklines>
        </x14:sparklineGroup>
        <x14:sparklineGroup displayEmptyCellsAs="gap" markers="1" xr2:uid="{98A284F4-F6B3-48EB-AF80-DE6EC3978D2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'大厂周报-练习版'!H28:H34</xm:f>
              <xm:sqref>G9</xm:sqref>
            </x14:sparkline>
          </x14:sparklines>
        </x14:sparklineGroup>
        <x14:sparklineGroup displayEmptyCellsAs="gap" markers="1" xr2:uid="{157CE987-15E7-4025-8B17-CF700834309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'大厂周报-练习版'!J28:J34</xm:f>
              <xm:sqref>I9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defaultRowHeight="14" x14ac:dyDescent="0.3"/>
  <cols>
    <col min="1" max="1" width="10.5" style="1" bestFit="1" customWidth="1"/>
    <col min="3" max="3" width="23.5" bestFit="1" customWidth="1"/>
    <col min="4" max="4" width="11.58203125" bestFit="1" customWidth="1"/>
    <col min="5" max="5" width="24.5" bestFit="1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3</v>
      </c>
      <c r="B1" t="s">
        <v>129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3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3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3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3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3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3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3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3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3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3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3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3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3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3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3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3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3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3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3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3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3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3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3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3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3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3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3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3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3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3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3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3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3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3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3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3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3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3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3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3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3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3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3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3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3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3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3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3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3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3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3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3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3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3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3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3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3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3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3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3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3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3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3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3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3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3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3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3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3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3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3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3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3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3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3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3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3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3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3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3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3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3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3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3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3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3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3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3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3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3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3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3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3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3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3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3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3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3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3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3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3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3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3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3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3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3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3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3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3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3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3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3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3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3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3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3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3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3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3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3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3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3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3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3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3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3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3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3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3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3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3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3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3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3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3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3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3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3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3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3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3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3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3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3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3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3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3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3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3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3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3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3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3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3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3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3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3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3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3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3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3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3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3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3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3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3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3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3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3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3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3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3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3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3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3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3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3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3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3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3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3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3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3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3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3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3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3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3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3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3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3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3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3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3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3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3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3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3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3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3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3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3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3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3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3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3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3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3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3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3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3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3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3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3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3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3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3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3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3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3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3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3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3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3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3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3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3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3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3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3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3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3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3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3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3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3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3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3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3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3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3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3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3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3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3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3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3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3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3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3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3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3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3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3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3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3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3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3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3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3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3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3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3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3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3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3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3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3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拌客源数据1-8月</vt:lpstr>
      <vt:lpstr>常用函数-练习版</vt:lpstr>
      <vt:lpstr>大厂周报-练习版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Junyu Kong</cp:lastModifiedBy>
  <dcterms:created xsi:type="dcterms:W3CDTF">2021-06-18T07:16:56Z</dcterms:created>
  <dcterms:modified xsi:type="dcterms:W3CDTF">2023-10-15T21:03:43Z</dcterms:modified>
</cp:coreProperties>
</file>